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Data Entry" sheetId="1" r:id="rId1"/>
    <sheet name="Years of Service" sheetId="2" r:id="rId2"/>
    <sheet name="Constants" sheetId="3" state="hidden" r:id="rId3"/>
    <sheet name="Printout" sheetId="4" r:id="rId4"/>
    <sheet name="Sheet1" sheetId="5" state="hidden" r:id="rId5"/>
  </sheets>
  <definedNames>
    <definedName name="CatchUp">'Constants'!$D$6</definedName>
    <definedName name="COMP">'Data Entry'!$B$27</definedName>
    <definedName name="Def87">'Data Entry'!$B$39</definedName>
    <definedName name="DOB">'Data Entry'!$B$20</definedName>
    <definedName name="EMAIL">'Data Entry'!$E$21</definedName>
    <definedName name="Limit402g">'Constants'!$D$4</definedName>
    <definedName name="Limit415">'Constants'!$D$5</definedName>
    <definedName name="phone">'Data Entry'!$E$20</definedName>
    <definedName name="_xlnm.Print_Area" localSheetId="0">'Data Entry'!$A$1:$K$62</definedName>
    <definedName name="_xlnm.Print_Area" localSheetId="3">'Printout'!$A$1:$M$140</definedName>
    <definedName name="_xlnm.Print_Area" localSheetId="1">'Years of Service'!$A$1:$L$54</definedName>
    <definedName name="Roth">'Data Entry'!$B$33</definedName>
    <definedName name="Service">'Years of Service'!$C$20</definedName>
    <definedName name="TotalAge50CUs">'Data Entry'!#REF!</definedName>
    <definedName name="TotalDefs">'Data Entry'!$B$35</definedName>
    <definedName name="Yr">'Constants'!$D$3</definedName>
  </definedNames>
  <calcPr fullCalcOnLoad="1"/>
</workbook>
</file>

<file path=xl/sharedStrings.xml><?xml version="1.0" encoding="utf-8"?>
<sst xmlns="http://schemas.openxmlformats.org/spreadsheetml/2006/main" count="221" uniqueCount="138">
  <si>
    <t>First</t>
  </si>
  <si>
    <t>Last</t>
  </si>
  <si>
    <t>M.I.</t>
  </si>
  <si>
    <t>Social Security Number</t>
  </si>
  <si>
    <t>Year of Birth</t>
  </si>
  <si>
    <t>Telephone (work or home)</t>
  </si>
  <si>
    <t>e-mail</t>
  </si>
  <si>
    <t>Complete the Years of Service Worksheet on the next tab</t>
  </si>
  <si>
    <t>Years of Service</t>
  </si>
  <si>
    <t>Compensation is taxable income plus pre-tax employee contributions to an IRC §403(b), §457, §401(k),</t>
  </si>
  <si>
    <t>§132(f) (pre-tax transportation reimbursement) or §125 plan.  Compensation does not include pre-tax</t>
  </si>
  <si>
    <t xml:space="preserve">contributions to CalPERS.  </t>
  </si>
  <si>
    <t>Total §403(b) and §401(k) deferrals made before 1987 and while employed at the CSU.</t>
  </si>
  <si>
    <t>Deferral *</t>
  </si>
  <si>
    <t>Year</t>
  </si>
  <si>
    <t xml:space="preserve">* Include contributions made by you to any Section 401(k) or 403(b) plan (including Roth contributions), or Simplified Employee Pension (SEP). </t>
  </si>
  <si>
    <t>Years of Service Worksheet</t>
  </si>
  <si>
    <t>This worksheet will help you determine your years of service with the CSU.  You count service from when you</t>
  </si>
  <si>
    <t>Service is based on full-time employment, or its equivalent.  Full-time employment means the usual time at work</t>
  </si>
  <si>
    <t>for employees in the position you hold (or held) at the CSU.  If you worked that much or more in a year, then you</t>
  </si>
  <si>
    <t>earn a full year (1.0 year) of service.  If you worked half that much in a year, then you earn a half year (0.5 year)</t>
  </si>
  <si>
    <t>of service.  The percentage of time worked will usually provide a good indication of how much service you earn.</t>
  </si>
  <si>
    <t>If you work for less than a full year (for example in the year you are hired or if you had a period of unpaid leave</t>
  </si>
  <si>
    <t>or severance), then you must prorate your service in those years.  For example, if you work full-time for three</t>
  </si>
  <si>
    <t>months in a year in a position normally requiring 12 months of full-time work in a year, then you earn 0.25 years</t>
  </si>
  <si>
    <t>(3 months divided by 12 months) of service.</t>
  </si>
  <si>
    <t>You may refer to your annual CalPERS statement, or register on the My CalPERS website at:</t>
  </si>
  <si>
    <t>https://mycalpers.ca.gov  to obtain your years of service with the CSU.</t>
  </si>
  <si>
    <t>Total Years of Service</t>
  </si>
  <si>
    <t>Service</t>
  </si>
  <si>
    <t>See hidden rows 3-26</t>
  </si>
  <si>
    <t>Year:</t>
  </si>
  <si>
    <t>402(g)(1):</t>
  </si>
  <si>
    <t>415 Limit:</t>
  </si>
  <si>
    <t>Age 50 Catch-Up Limit:</t>
  </si>
  <si>
    <t>Annual Update</t>
  </si>
  <si>
    <t>Update fields above</t>
  </si>
  <si>
    <t>Add year to "Printout" row 66, including columns O and P.  Make sure new row in column P has this formula "Service-'Years of Service'!C24", and all others in column P have same formula</t>
  </si>
  <si>
    <t>Add year to "Data Entry" row 59</t>
  </si>
  <si>
    <t>Adjust cell references in "Clear Data" Macro</t>
  </si>
  <si>
    <t>Make sure all of above are being added in correctly</t>
  </si>
  <si>
    <r>
      <t xml:space="preserve">Adjust input note on "Data Entry" cell B30.  Input note maximum should be total cumulative Catch-Up possible from 2002 to Yr-1 (41,500 for 2012 plan year worksheet, see below).  </t>
    </r>
    <r>
      <rPr>
        <sz val="8"/>
        <color indexed="12"/>
        <rFont val="Arial"/>
        <family val="2"/>
      </rPr>
      <t>Menu=Data/Validation</t>
    </r>
  </si>
  <si>
    <t>Catch Up</t>
  </si>
  <si>
    <t>IRC SECTIONS: 402(g)(7) (15 YEAR) AND 414(v) (AGE-50) CATCH-UP ALLOWANCES</t>
  </si>
  <si>
    <t>Last Name, First Middle</t>
  </si>
  <si>
    <t>* Social Security Number</t>
  </si>
  <si>
    <t>**Year of Birth</t>
  </si>
  <si>
    <t>Telephone (work or home) and/or e-mail</t>
  </si>
  <si>
    <t>15-Year Catch-Up Allowance (IRC 402(g)(7))</t>
  </si>
  <si>
    <t>Age-50 Catch-Up Allowance (IRC 414(v))</t>
  </si>
  <si>
    <t>Step 1:</t>
  </si>
  <si>
    <t>(1)</t>
  </si>
  <si>
    <t>Step 2:</t>
  </si>
  <si>
    <t>(2)</t>
  </si>
  <si>
    <t>Step 3:</t>
  </si>
  <si>
    <t>§403(b) contributions prior to 1987 are ignored for Step 3.</t>
  </si>
  <si>
    <t>(A)</t>
  </si>
  <si>
    <t>(B)</t>
  </si>
  <si>
    <t>(C)</t>
  </si>
  <si>
    <t>(D)</t>
  </si>
  <si>
    <t>(E)</t>
  </si>
  <si>
    <t>(F)</t>
  </si>
  <si>
    <t>(G)</t>
  </si>
  <si>
    <t>§403(b) Contributions</t>
  </si>
  <si>
    <t>§402(g) Limit</t>
  </si>
  <si>
    <t>(B) minus (C), but not less than $0</t>
  </si>
  <si>
    <t>Portion of (D) designated 15-year catch-up</t>
  </si>
  <si>
    <t>Portion of (D) designated age-50 catch-up</t>
  </si>
  <si>
    <t>Portion of (D) that is an excess deferral</t>
  </si>
  <si>
    <t>Age</t>
  </si>
  <si>
    <t>minus</t>
  </si>
  <si>
    <t>=</t>
  </si>
  <si>
    <t>Total Prior 15-Year Catch-Up Contributions =</t>
  </si>
  <si>
    <t>Step 4:</t>
  </si>
  <si>
    <t>Totals for Steps 3:</t>
  </si>
  <si>
    <t>(4)</t>
  </si>
  <si>
    <t>Step 5:</t>
  </si>
  <si>
    <t>(5)</t>
  </si>
  <si>
    <t>*  Your Social Security number is required because it is your payroll identification number and your 403(b) contribution affects payroll transactions.</t>
  </si>
  <si>
    <t>** Year of birth is required to permit additional contributions for employees age-50 and over.</t>
  </si>
  <si>
    <t>Step 6:</t>
  </si>
  <si>
    <t>a)</t>
  </si>
  <si>
    <t>Years of Service entered in Step 1</t>
  </si>
  <si>
    <t>b)</t>
  </si>
  <si>
    <t>Multiply by $5,000</t>
  </si>
  <si>
    <t>x</t>
  </si>
  <si>
    <t>This equals:</t>
  </si>
  <si>
    <t>c)</t>
  </si>
  <si>
    <t>Subtract your prior §403(b) and §401(k) contributions for</t>
  </si>
  <si>
    <t>the entire period of your CSU employment.  Do not include</t>
  </si>
  <si>
    <t>age-50 catch-ups.</t>
  </si>
  <si>
    <t>This equals (not less than zero):</t>
  </si>
  <si>
    <t>d)</t>
  </si>
  <si>
    <t>(6)</t>
  </si>
  <si>
    <t>Step 7:</t>
  </si>
  <si>
    <t>(7)</t>
  </si>
  <si>
    <t>Step 8:</t>
  </si>
  <si>
    <t>(8)</t>
  </si>
  <si>
    <t>Step 9:</t>
  </si>
  <si>
    <t>(9)</t>
  </si>
  <si>
    <t>Breakdown of Maximum Eligible Contribution:</t>
  </si>
  <si>
    <t>Contribution up to IRC §402(g)(1) Limit (or 100% of compensation if less):</t>
  </si>
  <si>
    <t>15-Year Catch-Up Under IRC §402(g)(7):</t>
  </si>
  <si>
    <t>Age-50 Catch-Up Under IRC §414(v):</t>
  </si>
  <si>
    <t>Total Eligible Contribution:</t>
  </si>
  <si>
    <t xml:space="preserve">My signature certifies that I have at least 15 years of CSU service and to the best of my knowledge the information used in completing this worksheet is accurate. I understand that I (and/or my financial advisor) is/are solely responsible for the accuracy of the information supplied on this form. </t>
  </si>
  <si>
    <t xml:space="preserve">Employee Signature:  </t>
  </si>
  <si>
    <t>Date:</t>
  </si>
  <si>
    <t>Campus Representative:</t>
  </si>
  <si>
    <r>
      <t xml:space="preserve">Adjust input note on "Data Entry" cell B30.  Input note maximum should be total cumulative Catch-Up possible from 2002 to Yr-1 (47000 for 2013 plan year worksheet, see below).  </t>
    </r>
    <r>
      <rPr>
        <sz val="8"/>
        <color indexed="12"/>
        <rFont val="Arial"/>
        <family val="2"/>
      </rPr>
      <t>Menu=Data/Validation</t>
    </r>
  </si>
  <si>
    <t xml:space="preserve">If you have been employed with the CSU for at least fifteen (15) years or more, and wish to demonstrate your eligibility to participate in the 15-Year Catch-Up Allowance,  a </t>
  </si>
  <si>
    <t xml:space="preserve">be required for any subsequent tax year. </t>
  </si>
  <si>
    <t xml:space="preserve">IRC §402(g)(7) provides a “catch-up” provision for the §402(g) limit, which permits eligible employees to contribute up to an additional $3,000 during the year, if you have at least fifteen (15) years
of service with the CSU.  </t>
  </si>
  <si>
    <t xml:space="preserve">completed signed Worksheet is required and must be submitted to the Benefits Office.  The results will be documented in Retirement Manager and a Worksheet WILL NOT </t>
  </si>
  <si>
    <t>If you are or will be age-50 by the end of the calendar year, and you have contributed the lesser of 100% of pay or the maximum permitted under §402(g) and §402(g)(7) (if eligible), you are eligible</t>
  </si>
  <si>
    <t xml:space="preserve">(Compensation for the percentage calculation is taxable income plus pre-tax employee contributions to an IRC §403(b), </t>
  </si>
  <si>
    <t xml:space="preserve">§457, §401(k), §132(f) (pre-tax transportation reimbursement) or §125 plan but does not include pre-tax contributions to </t>
  </si>
  <si>
    <t>CalPERS retirement.)  The §402(g) limit is not considered in Step 2 of the calculation.</t>
  </si>
  <si>
    <t xml:space="preserve">If total equals or exceeds $15,000, you are not eligible for the 15-year catch-up provision. If total is less than $15,000, subtract </t>
  </si>
  <si>
    <t>Enter the least of the amounts from Steps (2), (5), (6), and (7).  This is the maximum amount you are permitted to contribute</t>
  </si>
  <si>
    <t>using the §402(g)(7) 15-year catch-up provision.</t>
  </si>
  <si>
    <t xml:space="preserve">Enter your years of service at the CSU (complete attached “Years of Service Worksheet”).  If you have less than 15 years of </t>
  </si>
  <si>
    <t>service, you are not eligible to use the 15-year catch-up provision.</t>
  </si>
  <si>
    <t>during the year, even if those plans are sponsored by a different employer.  However, it is not reduced by your State of California Deferred Compensation Plan (§457(b)) or CalPERS retirement</t>
  </si>
  <si>
    <t>contribution.</t>
  </si>
  <si>
    <t>do not count against the age-50 catch-up contributions to a governmental §457(b) plan.</t>
  </si>
  <si>
    <t>Add year to "Data Entry" row XX</t>
  </si>
  <si>
    <t>Contributions to the §403(b) program must be no greater than the lesser of two different IRS limits.  These limits are under Internal Revenue Code (IRC) §415(c) and §402(g).  For 2019 , the §402(g)</t>
  </si>
  <si>
    <t>limit is $19,000; the §415(c) limit is 100% of compensation (up to $56,000).  The §402(g) limit is an annual limit; it is reduced if you contribute to a §401(k) plan or a Simplified Employee Pension (SEP)</t>
  </si>
  <si>
    <t>to defer an additional $6,000 to the amount shown in Step 9.  You must confirm that your date of birth is December 31, 1969 or earlier. Age-50 catch-up contributions to a §403(b) or §401(k) plan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</si>
  <si>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The Worksheet has three tabs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</si>
  <si>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Complete the cells shaded in yellow in the tab titled “Data Entry” and “Years of Service”.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</si>
  <si>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The information will carry over to the last tab “PrintOut”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</si>
  <si>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Review the “PrintOut” tab, print it, and sign it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</si>
  <si>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The campus Benefit Officer or Payroll will need to confirm the years of service (can be found on CalPERS) and sign the request.</t>
    </r>
  </si>
  <si>
    <t>Instructions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</si>
  <si>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Once all signatures are completed, please fax the form to Human Resources Mangement (Chancellor Office) 562-951-4695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</si>
  <si>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If you have any questions or need more details please call 562-951-4411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</si>
</sst>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00\-00\-0000"/>
    <numFmt numFmtId="166" formatCode="\(000&quot;) &quot;000\-0000"/>
    <numFmt numFmtId="167" formatCode="_(* #,##0.00_);_(* \(#,##0.00\);_(* \-??_);_(@_)"/>
    <numFmt numFmtId="168" formatCode="_(\$* #,##0.00_);_(\$* \(#,##0.00\);_(\$* \-??_);_(@_)"/>
    <numFmt numFmtId="169" formatCode="_(* #,##0_);_(* \(#,##0\);_(* \-??_);_(@_)"/>
    <numFmt numFmtId="170" formatCode="_(\$* #,##0_);_(\$* \(#,##0\);_(\$* \-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1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8.7"/>
      <color indexed="12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color indexed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u val="single"/>
      <sz val="12"/>
      <name val="Arial Narrow"/>
      <family val="2"/>
    </font>
    <font>
      <b/>
      <i/>
      <sz val="12"/>
      <name val="Arial Narrow"/>
      <family val="2"/>
    </font>
    <font>
      <b/>
      <sz val="14"/>
      <color indexed="9"/>
      <name val="Arial Narrow"/>
      <family val="2"/>
    </font>
    <font>
      <b/>
      <sz val="13"/>
      <name val="Arial Narrow"/>
      <family val="2"/>
    </font>
    <font>
      <sz val="13"/>
      <color indexed="10"/>
      <name val="Arial Narrow"/>
      <family val="2"/>
    </font>
    <font>
      <sz val="1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Symbol"/>
      <family val="1"/>
    </font>
    <font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 Narrow"/>
      <family val="2"/>
    </font>
    <font>
      <sz val="13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164" fontId="2" fillId="33" borderId="10" xfId="0" applyNumberFormat="1" applyFont="1" applyFill="1" applyBorder="1" applyAlignment="1" applyProtection="1">
      <alignment/>
      <protection locked="0"/>
    </xf>
    <xf numFmtId="165" fontId="2" fillId="33" borderId="10" xfId="0" applyNumberFormat="1" applyFont="1" applyFill="1" applyBorder="1" applyAlignment="1" applyProtection="1">
      <alignment/>
      <protection locked="0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167" fontId="0" fillId="0" borderId="10" xfId="42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168" fontId="2" fillId="33" borderId="10" xfId="44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67" fontId="1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67" fontId="0" fillId="0" borderId="0" xfId="42" applyFont="1" applyFill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168" fontId="0" fillId="0" borderId="0" xfId="44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69" fontId="0" fillId="0" borderId="0" xfId="42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14" xfId="0" applyFont="1" applyBorder="1" applyAlignment="1">
      <alignment horizontal="left"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18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2" fillId="0" borderId="2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1" xfId="0" applyFont="1" applyBorder="1" applyAlignment="1">
      <alignment horizontal="left"/>
    </xf>
    <xf numFmtId="0" fontId="12" fillId="0" borderId="0" xfId="0" applyFont="1" applyBorder="1" applyAlignment="1">
      <alignment horizontal="justify"/>
    </xf>
    <xf numFmtId="0" fontId="14" fillId="0" borderId="0" xfId="0" applyFont="1" applyAlignment="1">
      <alignment horizontal="left" vertical="top"/>
    </xf>
    <xf numFmtId="0" fontId="12" fillId="0" borderId="0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167" fontId="12" fillId="0" borderId="20" xfId="42" applyFont="1" applyFill="1" applyBorder="1" applyAlignment="1" applyProtection="1">
      <alignment/>
      <protection/>
    </xf>
    <xf numFmtId="0" fontId="13" fillId="0" borderId="0" xfId="0" applyFont="1" applyAlignment="1">
      <alignment vertical="top"/>
    </xf>
    <xf numFmtId="0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168" fontId="12" fillId="0" borderId="0" xfId="44" applyFont="1" applyFill="1" applyBorder="1" applyAlignment="1" applyProtection="1">
      <alignment/>
      <protection/>
    </xf>
    <xf numFmtId="168" fontId="12" fillId="0" borderId="20" xfId="44" applyFont="1" applyFill="1" applyBorder="1" applyAlignment="1" applyProtection="1">
      <alignment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2" fillId="0" borderId="0" xfId="0" applyFont="1" applyFill="1" applyAlignment="1">
      <alignment/>
    </xf>
    <xf numFmtId="168" fontId="12" fillId="0" borderId="0" xfId="44" applyFont="1" applyFill="1" applyBorder="1" applyAlignment="1" applyProtection="1">
      <alignment horizontal="right"/>
      <protection/>
    </xf>
    <xf numFmtId="169" fontId="12" fillId="0" borderId="0" xfId="42" applyNumberFormat="1" applyFont="1" applyFill="1" applyBorder="1" applyAlignment="1" applyProtection="1">
      <alignment horizontal="right"/>
      <protection/>
    </xf>
    <xf numFmtId="167" fontId="12" fillId="0" borderId="0" xfId="42" applyFont="1" applyFill="1" applyBorder="1" applyAlignment="1" applyProtection="1">
      <alignment/>
      <protection/>
    </xf>
    <xf numFmtId="167" fontId="12" fillId="0" borderId="0" xfId="0" applyNumberFormat="1" applyFont="1" applyFill="1" applyAlignment="1">
      <alignment/>
    </xf>
    <xf numFmtId="167" fontId="12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68" fontId="13" fillId="0" borderId="0" xfId="44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168" fontId="12" fillId="0" borderId="0" xfId="0" applyNumberFormat="1" applyFont="1" applyAlignment="1">
      <alignment/>
    </xf>
    <xf numFmtId="168" fontId="12" fillId="0" borderId="20" xfId="0" applyNumberFormat="1" applyFont="1" applyBorder="1" applyAlignment="1">
      <alignment/>
    </xf>
    <xf numFmtId="0" fontId="12" fillId="0" borderId="0" xfId="0" applyFont="1" applyFill="1" applyAlignment="1">
      <alignment horizontal="left"/>
    </xf>
    <xf numFmtId="168" fontId="12" fillId="0" borderId="20" xfId="44" applyFont="1" applyFill="1" applyBorder="1" applyAlignment="1" applyProtection="1">
      <alignment horizontal="right"/>
      <protection/>
    </xf>
    <xf numFmtId="0" fontId="12" fillId="0" borderId="0" xfId="0" applyFont="1" applyAlignment="1">
      <alignment horizontal="right"/>
    </xf>
    <xf numFmtId="170" fontId="15" fillId="0" borderId="0" xfId="44" applyNumberFormat="1" applyFont="1" applyFill="1" applyBorder="1" applyAlignment="1" applyProtection="1">
      <alignment/>
      <protection/>
    </xf>
    <xf numFmtId="170" fontId="12" fillId="0" borderId="0" xfId="44" applyNumberFormat="1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168" fontId="15" fillId="0" borderId="0" xfId="44" applyFont="1" applyFill="1" applyBorder="1" applyAlignment="1" applyProtection="1">
      <alignment/>
      <protection/>
    </xf>
    <xf numFmtId="168" fontId="13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justify" vertical="top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2" fillId="0" borderId="22" xfId="0" applyFont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vertical="top"/>
    </xf>
    <xf numFmtId="0" fontId="12" fillId="0" borderId="0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164" fontId="12" fillId="0" borderId="17" xfId="0" applyNumberFormat="1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69" fontId="59" fillId="0" borderId="0" xfId="0" applyNumberFormat="1" applyFont="1" applyFill="1" applyAlignment="1">
      <alignment/>
    </xf>
    <xf numFmtId="0" fontId="59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167" fontId="12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/>
    </xf>
    <xf numFmtId="0" fontId="59" fillId="0" borderId="0" xfId="0" applyFont="1" applyFill="1" applyAlignment="1">
      <alignment/>
    </xf>
    <xf numFmtId="165" fontId="12" fillId="0" borderId="17" xfId="0" applyNumberFormat="1" applyFont="1" applyBorder="1" applyAlignment="1" applyProtection="1">
      <alignment horizontal="left"/>
      <protection locked="0"/>
    </xf>
    <xf numFmtId="166" fontId="3" fillId="33" borderId="10" xfId="53" applyNumberFormat="1" applyFont="1" applyFill="1" applyBorder="1" applyAlignment="1" applyProtection="1">
      <alignment horizontal="center"/>
      <protection locked="0"/>
    </xf>
    <xf numFmtId="166" fontId="3" fillId="33" borderId="10" xfId="53" applyNumberForma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17" fillId="34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justify" wrapText="1"/>
    </xf>
    <xf numFmtId="0" fontId="12" fillId="0" borderId="0" xfId="0" applyFont="1" applyBorder="1" applyAlignment="1">
      <alignment horizontal="justify"/>
    </xf>
    <xf numFmtId="0" fontId="12" fillId="0" borderId="0" xfId="0" applyFont="1" applyBorder="1" applyAlignment="1">
      <alignment horizontal="justify" vertical="top"/>
    </xf>
    <xf numFmtId="0" fontId="12" fillId="0" borderId="0" xfId="0" applyNumberFormat="1" applyFont="1" applyAlignment="1">
      <alignment horizontal="left"/>
    </xf>
    <xf numFmtId="0" fontId="12" fillId="0" borderId="0" xfId="0" applyFont="1" applyAlignment="1">
      <alignment vertical="top" wrapText="1"/>
    </xf>
    <xf numFmtId="0" fontId="18" fillId="0" borderId="0" xfId="0" applyFont="1" applyAlignment="1">
      <alignment horizontal="justify"/>
    </xf>
    <xf numFmtId="0" fontId="18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0" fillId="35" borderId="0" xfId="0" applyFill="1" applyBorder="1" applyAlignment="1">
      <alignment/>
    </xf>
    <xf numFmtId="0" fontId="1" fillId="35" borderId="23" xfId="0" applyFont="1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39" fillId="35" borderId="26" xfId="0" applyFont="1" applyFill="1" applyBorder="1" applyAlignment="1">
      <alignment horizontal="left" vertical="center" indent="4"/>
    </xf>
    <xf numFmtId="0" fontId="7" fillId="35" borderId="27" xfId="0" applyFont="1" applyFill="1" applyBorder="1" applyAlignment="1">
      <alignment vertical="center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1" fillId="35" borderId="3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b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lor rgb="FF0000FF"/>
      </font>
      <fill>
        <patternFill patternType="solid">
          <fgColor rgb="FFFFFFCC"/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86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O71"/>
  <sheetViews>
    <sheetView tabSelected="1" zoomScale="87" zoomScaleNormal="87" zoomScalePageLayoutView="0" workbookViewId="0" topLeftCell="A1">
      <selection activeCell="B15" sqref="B15"/>
    </sheetView>
  </sheetViews>
  <sheetFormatPr defaultColWidth="9.140625" defaultRowHeight="12.75"/>
  <cols>
    <col min="1" max="1" width="4.00390625" style="1" customWidth="1"/>
    <col min="2" max="2" width="13.421875" style="1" customWidth="1"/>
    <col min="3" max="3" width="9.140625" style="1" customWidth="1"/>
    <col min="4" max="4" width="8.7109375" style="1" customWidth="1"/>
    <col min="5" max="5" width="13.00390625" style="1" customWidth="1"/>
    <col min="6" max="6" width="9.8515625" style="1" customWidth="1"/>
    <col min="7" max="7" width="5.00390625" style="1" customWidth="1"/>
    <col min="8" max="8" width="10.140625" style="1" customWidth="1"/>
    <col min="9" max="9" width="9.140625" style="2" customWidth="1"/>
    <col min="10" max="10" width="8.00390625" style="2" customWidth="1"/>
    <col min="11" max="14" width="9.140625" style="1" customWidth="1"/>
    <col min="15" max="15" width="13.7109375" style="1" customWidth="1"/>
    <col min="16" max="16384" width="9.140625" style="1" customWidth="1"/>
  </cols>
  <sheetData>
    <row r="1" ht="13.5" thickBot="1"/>
    <row r="2" spans="2:15" ht="12.75">
      <c r="B2" s="121" t="s">
        <v>135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/>
    </row>
    <row r="3" spans="2:15" ht="15.75">
      <c r="B3" s="124" t="s">
        <v>130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5"/>
    </row>
    <row r="4" spans="2:15" ht="15.75">
      <c r="B4" s="124" t="s">
        <v>131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6"/>
    </row>
    <row r="5" spans="2:15" ht="15.75">
      <c r="B5" s="124" t="s">
        <v>132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6"/>
    </row>
    <row r="6" spans="2:15" ht="15.75">
      <c r="B6" s="124" t="s">
        <v>133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6"/>
    </row>
    <row r="7" spans="2:15" ht="15.75">
      <c r="B7" s="124" t="s">
        <v>134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6"/>
    </row>
    <row r="8" spans="2:15" ht="15.75">
      <c r="B8" s="124" t="s">
        <v>136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6"/>
    </row>
    <row r="9" spans="2:15" ht="15.75">
      <c r="B9" s="124" t="s">
        <v>137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6"/>
    </row>
    <row r="10" spans="2:15" ht="13.5" thickBot="1">
      <c r="B10" s="129" t="str">
        <f>"When complete, print and save this page to use in next year's ("&amp;Yr+1&amp;") calculation."</f>
        <v>When complete, print and save this page to use in next year's (2020) calculation.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8"/>
    </row>
    <row r="12" ht="8.25" customHeight="1">
      <c r="O12" s="119"/>
    </row>
    <row r="13" ht="8.25" customHeight="1"/>
    <row r="14" ht="8.25" customHeight="1"/>
    <row r="15" spans="2:9" ht="12.75">
      <c r="B15" s="4"/>
      <c r="C15" s="1" t="s">
        <v>0</v>
      </c>
      <c r="E15" s="4"/>
      <c r="F15" s="1" t="s">
        <v>1</v>
      </c>
      <c r="G15" s="4"/>
      <c r="H15" s="1" t="s">
        <v>2</v>
      </c>
      <c r="I15" s="1"/>
    </row>
    <row r="16" ht="8.25" customHeight="1"/>
    <row r="17" spans="2:3" ht="12.75">
      <c r="B17" s="5"/>
      <c r="C17" s="1" t="s">
        <v>3</v>
      </c>
    </row>
    <row r="18" ht="8.25" customHeight="1"/>
    <row r="19" ht="8.25" customHeight="1"/>
    <row r="20" spans="2:9" ht="12.75">
      <c r="B20" s="6"/>
      <c r="C20" s="1" t="s">
        <v>4</v>
      </c>
      <c r="E20" s="106"/>
      <c r="F20" s="106"/>
      <c r="G20" s="2" t="s">
        <v>5</v>
      </c>
      <c r="I20" s="1"/>
    </row>
    <row r="21" spans="5:9" ht="12.75">
      <c r="E21" s="107"/>
      <c r="F21" s="106"/>
      <c r="G21" s="2" t="s">
        <v>6</v>
      </c>
      <c r="I21" s="1"/>
    </row>
    <row r="22" ht="7.5" customHeight="1"/>
    <row r="24" spans="2:7" ht="12.75">
      <c r="B24" s="7" t="s">
        <v>7</v>
      </c>
      <c r="C24" s="8"/>
      <c r="D24" s="8"/>
      <c r="E24" s="9"/>
      <c r="F24" s="10">
        <f>Service</f>
        <v>0</v>
      </c>
      <c r="G24" s="1" t="s">
        <v>8</v>
      </c>
    </row>
    <row r="25" ht="12.75">
      <c r="F25" s="11"/>
    </row>
    <row r="26" ht="5.25" customHeight="1">
      <c r="F26" s="11"/>
    </row>
    <row r="27" spans="2:3" ht="12.75">
      <c r="B27" s="12"/>
      <c r="C27" s="1" t="str">
        <f>Yr&amp;" Compensation"</f>
        <v>2019 Compensation</v>
      </c>
    </row>
    <row r="28" ht="6.75" customHeight="1"/>
    <row r="29" ht="14.25" customHeight="1">
      <c r="B29" s="13" t="s">
        <v>9</v>
      </c>
    </row>
    <row r="30" ht="14.25" customHeight="1">
      <c r="B30" s="13" t="s">
        <v>10</v>
      </c>
    </row>
    <row r="31" ht="14.25" customHeight="1">
      <c r="B31" s="13" t="s">
        <v>11</v>
      </c>
    </row>
    <row r="32" ht="6.75" customHeight="1"/>
    <row r="33" ht="6.75" customHeight="1"/>
    <row r="34" ht="6.75" customHeight="1">
      <c r="C34" s="14"/>
    </row>
    <row r="35" spans="2:10" ht="12.75">
      <c r="B35" s="12"/>
      <c r="C35" s="3" t="s">
        <v>12</v>
      </c>
      <c r="D35" s="3"/>
      <c r="E35" s="3"/>
      <c r="F35" s="3"/>
      <c r="G35" s="3"/>
      <c r="H35" s="3"/>
      <c r="I35" s="29"/>
      <c r="J35" s="29"/>
    </row>
    <row r="38" spans="2:9" ht="12.75" customHeight="1">
      <c r="B38" s="15" t="s">
        <v>13</v>
      </c>
      <c r="C38" s="15" t="s">
        <v>14</v>
      </c>
      <c r="E38" s="108" t="s">
        <v>15</v>
      </c>
      <c r="F38" s="108"/>
      <c r="G38" s="108"/>
      <c r="H38" s="108"/>
      <c r="I38" s="108"/>
    </row>
    <row r="39" spans="2:9" ht="12.75">
      <c r="B39" s="12"/>
      <c r="C39" s="15">
        <v>1987</v>
      </c>
      <c r="E39" s="108"/>
      <c r="F39" s="108"/>
      <c r="G39" s="108"/>
      <c r="H39" s="108"/>
      <c r="I39" s="108"/>
    </row>
    <row r="40" spans="2:9" ht="12.75">
      <c r="B40" s="12"/>
      <c r="C40" s="15">
        <f aca="true" t="shared" si="0" ref="C40:C71">1+C39</f>
        <v>1988</v>
      </c>
      <c r="E40" s="108"/>
      <c r="F40" s="108"/>
      <c r="G40" s="108"/>
      <c r="H40" s="108"/>
      <c r="I40" s="108"/>
    </row>
    <row r="41" spans="2:9" ht="12.75">
      <c r="B41" s="12"/>
      <c r="C41" s="15">
        <f t="shared" si="0"/>
        <v>1989</v>
      </c>
      <c r="E41" s="108"/>
      <c r="F41" s="108"/>
      <c r="G41" s="108"/>
      <c r="H41" s="108"/>
      <c r="I41" s="108"/>
    </row>
    <row r="42" spans="2:9" ht="12.75">
      <c r="B42" s="12"/>
      <c r="C42" s="15">
        <f t="shared" si="0"/>
        <v>1990</v>
      </c>
      <c r="E42" s="108"/>
      <c r="F42" s="108"/>
      <c r="G42" s="108"/>
      <c r="H42" s="108"/>
      <c r="I42" s="108"/>
    </row>
    <row r="43" spans="2:9" ht="12.75">
      <c r="B43" s="12"/>
      <c r="C43" s="15">
        <f t="shared" si="0"/>
        <v>1991</v>
      </c>
      <c r="E43" s="108"/>
      <c r="F43" s="108"/>
      <c r="G43" s="108"/>
      <c r="H43" s="108"/>
      <c r="I43" s="108"/>
    </row>
    <row r="44" spans="2:9" ht="12.75">
      <c r="B44" s="12"/>
      <c r="C44" s="15">
        <f t="shared" si="0"/>
        <v>1992</v>
      </c>
      <c r="E44" s="108"/>
      <c r="F44" s="108"/>
      <c r="G44" s="108"/>
      <c r="H44" s="108"/>
      <c r="I44" s="108"/>
    </row>
    <row r="45" spans="2:7" ht="12.75">
      <c r="B45" s="12"/>
      <c r="C45" s="15">
        <f t="shared" si="0"/>
        <v>1993</v>
      </c>
      <c r="G45" s="11"/>
    </row>
    <row r="46" spans="2:7" ht="12.75">
      <c r="B46" s="12"/>
      <c r="C46" s="15">
        <f t="shared" si="0"/>
        <v>1994</v>
      </c>
      <c r="G46" s="11"/>
    </row>
    <row r="47" spans="2:3" ht="12.75">
      <c r="B47" s="12"/>
      <c r="C47" s="15">
        <f t="shared" si="0"/>
        <v>1995</v>
      </c>
    </row>
    <row r="48" spans="2:3" ht="12.75">
      <c r="B48" s="12"/>
      <c r="C48" s="15">
        <f t="shared" si="0"/>
        <v>1996</v>
      </c>
    </row>
    <row r="49" spans="2:3" ht="12.75">
      <c r="B49" s="12"/>
      <c r="C49" s="15">
        <f t="shared" si="0"/>
        <v>1997</v>
      </c>
    </row>
    <row r="50" spans="2:3" ht="12.75">
      <c r="B50" s="12"/>
      <c r="C50" s="15">
        <f t="shared" si="0"/>
        <v>1998</v>
      </c>
    </row>
    <row r="51" spans="2:3" ht="12.75">
      <c r="B51" s="12"/>
      <c r="C51" s="15">
        <f t="shared" si="0"/>
        <v>1999</v>
      </c>
    </row>
    <row r="52" spans="2:3" ht="12.75">
      <c r="B52" s="12"/>
      <c r="C52" s="15">
        <f t="shared" si="0"/>
        <v>2000</v>
      </c>
    </row>
    <row r="53" spans="2:3" ht="12.75">
      <c r="B53" s="12"/>
      <c r="C53" s="15">
        <f t="shared" si="0"/>
        <v>2001</v>
      </c>
    </row>
    <row r="54" spans="2:3" ht="12.75">
      <c r="B54" s="12"/>
      <c r="C54" s="15">
        <f t="shared" si="0"/>
        <v>2002</v>
      </c>
    </row>
    <row r="55" spans="2:3" ht="12.75">
      <c r="B55" s="12"/>
      <c r="C55" s="15">
        <f t="shared" si="0"/>
        <v>2003</v>
      </c>
    </row>
    <row r="56" spans="2:3" ht="12.75">
      <c r="B56" s="12"/>
      <c r="C56" s="15">
        <f t="shared" si="0"/>
        <v>2004</v>
      </c>
    </row>
    <row r="57" spans="2:3" ht="12.75">
      <c r="B57" s="12"/>
      <c r="C57" s="15">
        <f t="shared" si="0"/>
        <v>2005</v>
      </c>
    </row>
    <row r="58" spans="2:3" ht="12.75">
      <c r="B58" s="12"/>
      <c r="C58" s="15">
        <f t="shared" si="0"/>
        <v>2006</v>
      </c>
    </row>
    <row r="59" spans="2:3" ht="12.75">
      <c r="B59" s="12"/>
      <c r="C59" s="15">
        <f t="shared" si="0"/>
        <v>2007</v>
      </c>
    </row>
    <row r="60" spans="2:3" ht="12.75">
      <c r="B60" s="12"/>
      <c r="C60" s="15">
        <f t="shared" si="0"/>
        <v>2008</v>
      </c>
    </row>
    <row r="61" spans="2:3" ht="12.75">
      <c r="B61" s="12"/>
      <c r="C61" s="15">
        <f t="shared" si="0"/>
        <v>2009</v>
      </c>
    </row>
    <row r="62" spans="2:3" ht="12.75">
      <c r="B62" s="12"/>
      <c r="C62" s="15">
        <f t="shared" si="0"/>
        <v>2010</v>
      </c>
    </row>
    <row r="63" spans="2:3" ht="13.5" thickBot="1">
      <c r="B63" s="12"/>
      <c r="C63" s="15">
        <f t="shared" si="0"/>
        <v>2011</v>
      </c>
    </row>
    <row r="64" spans="2:3" ht="13.5" thickBot="1">
      <c r="B64" s="12"/>
      <c r="C64" s="15">
        <f t="shared" si="0"/>
        <v>2012</v>
      </c>
    </row>
    <row r="65" spans="2:3" ht="13.5" thickBot="1">
      <c r="B65" s="12"/>
      <c r="C65" s="15">
        <f t="shared" si="0"/>
        <v>2013</v>
      </c>
    </row>
    <row r="66" spans="2:3" ht="13.5" thickBot="1">
      <c r="B66" s="12"/>
      <c r="C66" s="15">
        <f t="shared" si="0"/>
        <v>2014</v>
      </c>
    </row>
    <row r="67" spans="2:3" ht="13.5" thickBot="1">
      <c r="B67" s="12"/>
      <c r="C67" s="15">
        <f t="shared" si="0"/>
        <v>2015</v>
      </c>
    </row>
    <row r="68" spans="2:3" ht="13.5" thickBot="1">
      <c r="B68" s="12"/>
      <c r="C68" s="15">
        <f t="shared" si="0"/>
        <v>2016</v>
      </c>
    </row>
    <row r="69" spans="2:3" ht="13.5" thickBot="1">
      <c r="B69" s="12"/>
      <c r="C69" s="15">
        <f t="shared" si="0"/>
        <v>2017</v>
      </c>
    </row>
    <row r="70" spans="2:3" ht="13.5" thickBot="1">
      <c r="B70" s="12"/>
      <c r="C70" s="15">
        <f t="shared" si="0"/>
        <v>2018</v>
      </c>
    </row>
    <row r="71" spans="2:3" ht="13.5" thickBot="1">
      <c r="B71" s="12"/>
      <c r="C71" s="15">
        <f t="shared" si="0"/>
        <v>2019</v>
      </c>
    </row>
  </sheetData>
  <sheetProtection password="9181" sheet="1" selectLockedCells="1"/>
  <mergeCells count="3">
    <mergeCell ref="E20:F20"/>
    <mergeCell ref="E21:F21"/>
    <mergeCell ref="E38:I44"/>
  </mergeCells>
  <dataValidations count="2">
    <dataValidation type="decimal" operator="greaterThanOrEqual" allowBlank="1" showErrorMessage="1" errorTitle="PositiveErrorMsg" error="Please enter a value greater than zero." sqref="B27 B35 B39:B71">
      <formula1>0</formula1>
    </dataValidation>
    <dataValidation type="whole" allowBlank="1" showErrorMessage="1" errorTitle="YOB warning" error="Please enter year of birth" sqref="B20">
      <formula1>1910</formula1>
      <formula2>1998</formula2>
    </dataValidation>
  </dataValidations>
  <printOptions/>
  <pageMargins left="0.75" right="0.75" top="1" bottom="1" header="0.5118055555555555" footer="0.5118055555555555"/>
  <pageSetup fitToHeight="1" fitToWidth="1" horizontalDpi="600" verticalDpi="600" orientation="portrait" scale="9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53"/>
  <sheetViews>
    <sheetView zoomScalePageLayoutView="0" workbookViewId="0" topLeftCell="A25">
      <selection activeCell="F23" sqref="F23:F47"/>
    </sheetView>
  </sheetViews>
  <sheetFormatPr defaultColWidth="9.140625" defaultRowHeight="12.75"/>
  <cols>
    <col min="2" max="2" width="8.57421875" style="16" customWidth="1"/>
    <col min="3" max="3" width="7.00390625" style="0" customWidth="1"/>
    <col min="5" max="5" width="5.00390625" style="16" customWidth="1"/>
    <col min="6" max="6" width="7.00390625" style="0" customWidth="1"/>
  </cols>
  <sheetData>
    <row r="1" spans="1:12" ht="15.75">
      <c r="A1" s="109" t="s">
        <v>16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3" ht="15.75">
      <c r="A3" s="17" t="s">
        <v>17</v>
      </c>
    </row>
    <row r="4" ht="15.75">
      <c r="A4" s="17" t="str">
        <f>"first became an employee of the CSU projected to December 31, "&amp;Yr&amp;"."</f>
        <v>first became an employee of the CSU projected to December 31, 2019.</v>
      </c>
    </row>
    <row r="6" ht="15.75">
      <c r="A6" s="17" t="s">
        <v>18</v>
      </c>
    </row>
    <row r="7" ht="15.75">
      <c r="A7" s="17" t="s">
        <v>19</v>
      </c>
    </row>
    <row r="8" ht="15.75">
      <c r="A8" s="17" t="s">
        <v>20</v>
      </c>
    </row>
    <row r="9" ht="15.75">
      <c r="A9" s="17" t="s">
        <v>21</v>
      </c>
    </row>
    <row r="10" ht="15.75">
      <c r="A10" s="17"/>
    </row>
    <row r="11" ht="15.75">
      <c r="A11" s="17" t="s">
        <v>22</v>
      </c>
    </row>
    <row r="12" ht="15.75">
      <c r="A12" s="17" t="s">
        <v>23</v>
      </c>
    </row>
    <row r="13" ht="15.75">
      <c r="A13" s="17" t="s">
        <v>24</v>
      </c>
    </row>
    <row r="14" ht="15.75">
      <c r="A14" s="17" t="s">
        <v>25</v>
      </c>
    </row>
    <row r="15" ht="15.75">
      <c r="A15" s="17"/>
    </row>
    <row r="16" ht="15.75">
      <c r="A16" s="17" t="s">
        <v>26</v>
      </c>
    </row>
    <row r="17" ht="15.75">
      <c r="A17" s="17" t="s">
        <v>27</v>
      </c>
    </row>
    <row r="18" ht="6.75" customHeight="1">
      <c r="A18" s="17"/>
    </row>
    <row r="19" ht="15.75">
      <c r="A19" s="17"/>
    </row>
    <row r="20" spans="1:6" ht="15.75">
      <c r="A20" s="17"/>
      <c r="C20" s="18">
        <f>SUM(C23:C53)+SUM(F23:F47)</f>
        <v>0</v>
      </c>
      <c r="D20" s="19" t="s">
        <v>28</v>
      </c>
      <c r="E20" s="20"/>
      <c r="F20" s="19"/>
    </row>
    <row r="22" spans="2:6" ht="12.75">
      <c r="B22" s="21" t="s">
        <v>14</v>
      </c>
      <c r="C22" s="22" t="s">
        <v>29</v>
      </c>
      <c r="E22" s="21" t="s">
        <v>14</v>
      </c>
      <c r="F22" s="22" t="s">
        <v>29</v>
      </c>
    </row>
    <row r="23" spans="2:6" ht="12.75">
      <c r="B23" s="100">
        <f>Yr</f>
        <v>2019</v>
      </c>
      <c r="C23" s="23"/>
      <c r="E23" s="16">
        <f>B53-1</f>
        <v>1988</v>
      </c>
      <c r="F23" s="23"/>
    </row>
    <row r="24" spans="2:6" ht="12.75">
      <c r="B24" s="16">
        <f>Yr-1</f>
        <v>2018</v>
      </c>
      <c r="C24" s="23"/>
      <c r="E24" s="16">
        <f aca="true" t="shared" si="0" ref="E24:E47">E23-1</f>
        <v>1987</v>
      </c>
      <c r="F24" s="23"/>
    </row>
    <row r="25" spans="2:6" ht="12.75">
      <c r="B25" s="16">
        <f>B24-1</f>
        <v>2017</v>
      </c>
      <c r="C25" s="23"/>
      <c r="E25" s="16">
        <f t="shared" si="0"/>
        <v>1986</v>
      </c>
      <c r="F25" s="23"/>
    </row>
    <row r="26" spans="2:6" ht="12.75">
      <c r="B26" s="16">
        <f>B25-1</f>
        <v>2016</v>
      </c>
      <c r="C26" s="23"/>
      <c r="E26" s="16">
        <f t="shared" si="0"/>
        <v>1985</v>
      </c>
      <c r="F26" s="23"/>
    </row>
    <row r="27" spans="2:6" ht="12.75">
      <c r="B27" s="16">
        <f aca="true" t="shared" si="1" ref="B27:B51">B26-1</f>
        <v>2015</v>
      </c>
      <c r="C27" s="23"/>
      <c r="E27" s="16">
        <f t="shared" si="0"/>
        <v>1984</v>
      </c>
      <c r="F27" s="23"/>
    </row>
    <row r="28" spans="2:6" ht="12.75">
      <c r="B28" s="16">
        <f t="shared" si="1"/>
        <v>2014</v>
      </c>
      <c r="C28" s="23"/>
      <c r="E28" s="16">
        <f t="shared" si="0"/>
        <v>1983</v>
      </c>
      <c r="F28" s="23"/>
    </row>
    <row r="29" spans="2:6" ht="12.75">
      <c r="B29" s="16">
        <f t="shared" si="1"/>
        <v>2013</v>
      </c>
      <c r="C29" s="23"/>
      <c r="E29" s="16">
        <f t="shared" si="0"/>
        <v>1982</v>
      </c>
      <c r="F29" s="23"/>
    </row>
    <row r="30" spans="2:6" ht="12.75">
      <c r="B30" s="16">
        <f t="shared" si="1"/>
        <v>2012</v>
      </c>
      <c r="C30" s="23"/>
      <c r="E30" s="16">
        <f t="shared" si="0"/>
        <v>1981</v>
      </c>
      <c r="F30" s="23"/>
    </row>
    <row r="31" spans="2:6" ht="12.75">
      <c r="B31" s="16">
        <f t="shared" si="1"/>
        <v>2011</v>
      </c>
      <c r="C31" s="23"/>
      <c r="E31" s="16">
        <f t="shared" si="0"/>
        <v>1980</v>
      </c>
      <c r="F31" s="23"/>
    </row>
    <row r="32" spans="2:6" ht="12.75">
      <c r="B32" s="16">
        <f t="shared" si="1"/>
        <v>2010</v>
      </c>
      <c r="C32" s="23"/>
      <c r="E32" s="16">
        <f t="shared" si="0"/>
        <v>1979</v>
      </c>
      <c r="F32" s="23"/>
    </row>
    <row r="33" spans="2:6" ht="12.75">
      <c r="B33" s="16">
        <f t="shared" si="1"/>
        <v>2009</v>
      </c>
      <c r="C33" s="23"/>
      <c r="E33" s="16">
        <f t="shared" si="0"/>
        <v>1978</v>
      </c>
      <c r="F33" s="23"/>
    </row>
    <row r="34" spans="2:6" ht="12.75">
      <c r="B34" s="16">
        <f t="shared" si="1"/>
        <v>2008</v>
      </c>
      <c r="C34" s="23"/>
      <c r="E34" s="16">
        <f t="shared" si="0"/>
        <v>1977</v>
      </c>
      <c r="F34" s="23"/>
    </row>
    <row r="35" spans="2:6" ht="12.75">
      <c r="B35" s="16">
        <f t="shared" si="1"/>
        <v>2007</v>
      </c>
      <c r="C35" s="23"/>
      <c r="E35" s="16">
        <f t="shared" si="0"/>
        <v>1976</v>
      </c>
      <c r="F35" s="23"/>
    </row>
    <row r="36" spans="2:6" ht="12.75">
      <c r="B36" s="16">
        <f t="shared" si="1"/>
        <v>2006</v>
      </c>
      <c r="C36" s="23"/>
      <c r="E36" s="16">
        <f t="shared" si="0"/>
        <v>1975</v>
      </c>
      <c r="F36" s="23"/>
    </row>
    <row r="37" spans="2:6" ht="12.75">
      <c r="B37" s="16">
        <f t="shared" si="1"/>
        <v>2005</v>
      </c>
      <c r="C37" s="23"/>
      <c r="E37" s="16">
        <f t="shared" si="0"/>
        <v>1974</v>
      </c>
      <c r="F37" s="23"/>
    </row>
    <row r="38" spans="2:6" ht="12.75">
      <c r="B38" s="16">
        <f t="shared" si="1"/>
        <v>2004</v>
      </c>
      <c r="C38" s="23"/>
      <c r="E38" s="16">
        <f t="shared" si="0"/>
        <v>1973</v>
      </c>
      <c r="F38" s="23"/>
    </row>
    <row r="39" spans="2:6" ht="12.75">
      <c r="B39" s="16">
        <f t="shared" si="1"/>
        <v>2003</v>
      </c>
      <c r="C39" s="23"/>
      <c r="E39" s="16">
        <f t="shared" si="0"/>
        <v>1972</v>
      </c>
      <c r="F39" s="23"/>
    </row>
    <row r="40" spans="2:6" ht="12.75">
      <c r="B40" s="16">
        <f t="shared" si="1"/>
        <v>2002</v>
      </c>
      <c r="C40" s="23"/>
      <c r="E40" s="16">
        <f t="shared" si="0"/>
        <v>1971</v>
      </c>
      <c r="F40" s="23"/>
    </row>
    <row r="41" spans="2:6" ht="12.75">
      <c r="B41" s="16">
        <f t="shared" si="1"/>
        <v>2001</v>
      </c>
      <c r="C41" s="23"/>
      <c r="E41" s="16">
        <f t="shared" si="0"/>
        <v>1970</v>
      </c>
      <c r="F41" s="23"/>
    </row>
    <row r="42" spans="2:6" ht="12.75">
      <c r="B42" s="16">
        <f t="shared" si="1"/>
        <v>2000</v>
      </c>
      <c r="C42" s="23"/>
      <c r="E42" s="16">
        <f t="shared" si="0"/>
        <v>1969</v>
      </c>
      <c r="F42" s="23"/>
    </row>
    <row r="43" spans="2:6" ht="12.75">
      <c r="B43" s="16">
        <f t="shared" si="1"/>
        <v>1999</v>
      </c>
      <c r="C43" s="23"/>
      <c r="E43" s="16">
        <f t="shared" si="0"/>
        <v>1968</v>
      </c>
      <c r="F43" s="23"/>
    </row>
    <row r="44" spans="2:6" ht="12.75">
      <c r="B44" s="16">
        <f t="shared" si="1"/>
        <v>1998</v>
      </c>
      <c r="C44" s="23"/>
      <c r="E44" s="16">
        <f t="shared" si="0"/>
        <v>1967</v>
      </c>
      <c r="F44" s="23"/>
    </row>
    <row r="45" spans="2:6" ht="12.75">
      <c r="B45" s="16">
        <f t="shared" si="1"/>
        <v>1997</v>
      </c>
      <c r="C45" s="23"/>
      <c r="E45" s="16">
        <f t="shared" si="0"/>
        <v>1966</v>
      </c>
      <c r="F45" s="23"/>
    </row>
    <row r="46" spans="2:6" ht="12.75">
      <c r="B46" s="16">
        <f t="shared" si="1"/>
        <v>1996</v>
      </c>
      <c r="C46" s="23"/>
      <c r="E46" s="16">
        <f t="shared" si="0"/>
        <v>1965</v>
      </c>
      <c r="F46" s="23"/>
    </row>
    <row r="47" spans="2:6" ht="12.75">
      <c r="B47" s="16">
        <f t="shared" si="1"/>
        <v>1995</v>
      </c>
      <c r="C47" s="23"/>
      <c r="E47" s="16">
        <f t="shared" si="0"/>
        <v>1964</v>
      </c>
      <c r="F47" s="23"/>
    </row>
    <row r="48" spans="2:3" ht="12.75">
      <c r="B48" s="16">
        <f t="shared" si="1"/>
        <v>1994</v>
      </c>
      <c r="C48" s="23"/>
    </row>
    <row r="49" spans="2:3" ht="12.75">
      <c r="B49" s="16">
        <f t="shared" si="1"/>
        <v>1993</v>
      </c>
      <c r="C49" s="23"/>
    </row>
    <row r="50" spans="2:3" ht="12.75">
      <c r="B50" s="16">
        <f t="shared" si="1"/>
        <v>1992</v>
      </c>
      <c r="C50" s="23"/>
    </row>
    <row r="51" spans="2:3" ht="12.75">
      <c r="B51" s="16">
        <f t="shared" si="1"/>
        <v>1991</v>
      </c>
      <c r="C51" s="23"/>
    </row>
    <row r="52" spans="2:3" ht="15" customHeight="1">
      <c r="B52" s="16">
        <f>B51-1</f>
        <v>1990</v>
      </c>
      <c r="C52" s="23"/>
    </row>
    <row r="53" spans="2:3" ht="12.75">
      <c r="B53" s="16">
        <f>B52-1</f>
        <v>1989</v>
      </c>
      <c r="C53" s="23"/>
    </row>
  </sheetData>
  <sheetProtection password="9181" sheet="1" selectLockedCells="1"/>
  <mergeCells count="1">
    <mergeCell ref="A1:L1"/>
  </mergeCells>
  <conditionalFormatting sqref="F23:F47">
    <cfRule type="cellIs" priority="13" dxfId="8" operator="greaterThan" stopIfTrue="1">
      <formula>""""""</formula>
    </cfRule>
    <cfRule type="cellIs" priority="14" dxfId="8" operator="greaterThanOrEqual" stopIfTrue="1">
      <formula>0</formula>
    </cfRule>
  </conditionalFormatting>
  <conditionalFormatting sqref="C42:C53">
    <cfRule type="cellIs" priority="5" dxfId="8" operator="greaterThan" stopIfTrue="1">
      <formula>""""""</formula>
    </cfRule>
    <cfRule type="cellIs" priority="6" dxfId="8" operator="greaterThanOrEqual" stopIfTrue="1">
      <formula>0</formula>
    </cfRule>
  </conditionalFormatting>
  <conditionalFormatting sqref="C23">
    <cfRule type="cellIs" priority="3" dxfId="8" operator="greaterThan" stopIfTrue="1">
      <formula>""""""</formula>
    </cfRule>
    <cfRule type="cellIs" priority="4" dxfId="8" operator="greaterThanOrEqual" stopIfTrue="1">
      <formula>0</formula>
    </cfRule>
  </conditionalFormatting>
  <conditionalFormatting sqref="C24:C41">
    <cfRule type="cellIs" priority="1" dxfId="8" operator="greaterThan" stopIfTrue="1">
      <formula>""""""</formula>
    </cfRule>
    <cfRule type="cellIs" priority="2" dxfId="8" operator="greaterThanOrEqual" stopIfTrue="1">
      <formula>0</formula>
    </cfRule>
  </conditionalFormatting>
  <dataValidations count="1">
    <dataValidation type="decimal" allowBlank="1" showInputMessage="1" showErrorMessage="1" promptTitle="Input Service" prompt="Enter value from 0 to 1" errorTitle="Invalid Service" error="Please enter a value between 0 and 1" sqref="C23:C53 F23:F47">
      <formula1>0</formula1>
      <formula2>1</formula2>
    </dataValidation>
  </dataValidations>
  <printOptions/>
  <pageMargins left="0.5" right="0.5" top="0.5" bottom="0.5" header="0.5118055555555555" footer="0.5118055555555555"/>
  <pageSetup fitToHeight="1" fitToWidth="1"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C2:Q34"/>
  <sheetViews>
    <sheetView zoomScalePageLayoutView="0" workbookViewId="0" topLeftCell="A1">
      <selection activeCell="E53" sqref="E53"/>
    </sheetView>
  </sheetViews>
  <sheetFormatPr defaultColWidth="9.140625" defaultRowHeight="12.75"/>
  <cols>
    <col min="4" max="4" width="11.28125" style="0" customWidth="1"/>
    <col min="5" max="5" width="9.28125" style="0" customWidth="1"/>
  </cols>
  <sheetData>
    <row r="1" ht="13.5" customHeight="1"/>
    <row r="2" ht="12.75">
      <c r="C2" t="s">
        <v>30</v>
      </c>
    </row>
    <row r="3" spans="3:4" ht="12.75">
      <c r="C3" s="24" t="s">
        <v>31</v>
      </c>
      <c r="D3">
        <v>2019</v>
      </c>
    </row>
    <row r="4" spans="3:4" ht="12.75">
      <c r="C4" s="24" t="s">
        <v>32</v>
      </c>
      <c r="D4" s="25">
        <v>19000</v>
      </c>
    </row>
    <row r="5" spans="3:4" ht="12.75">
      <c r="C5" s="24" t="s">
        <v>33</v>
      </c>
      <c r="D5" s="25">
        <v>56000</v>
      </c>
    </row>
    <row r="6" spans="3:4" ht="12.75">
      <c r="C6" s="24" t="s">
        <v>34</v>
      </c>
      <c r="D6" s="25">
        <v>6000</v>
      </c>
    </row>
    <row r="9" ht="12.75">
      <c r="D9" t="s">
        <v>35</v>
      </c>
    </row>
    <row r="10" spans="3:4" ht="12.75">
      <c r="C10">
        <v>1</v>
      </c>
      <c r="D10" s="26" t="s">
        <v>36</v>
      </c>
    </row>
    <row r="11" spans="3:4" ht="12.75">
      <c r="C11">
        <v>2</v>
      </c>
      <c r="D11" s="27" t="s">
        <v>37</v>
      </c>
    </row>
    <row r="12" spans="3:4" ht="12.75">
      <c r="C12">
        <v>3</v>
      </c>
      <c r="D12" s="26" t="s">
        <v>38</v>
      </c>
    </row>
    <row r="13" spans="3:4" ht="12.75">
      <c r="C13">
        <v>4</v>
      </c>
      <c r="D13" s="26" t="s">
        <v>39</v>
      </c>
    </row>
    <row r="14" spans="3:4" ht="12.75">
      <c r="C14">
        <v>5</v>
      </c>
      <c r="D14" t="s">
        <v>40</v>
      </c>
    </row>
    <row r="15" spans="3:17" ht="12.75">
      <c r="C15">
        <v>6</v>
      </c>
      <c r="D15" s="27" t="s">
        <v>41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4:5" ht="12.75">
      <c r="D16" t="s">
        <v>14</v>
      </c>
      <c r="E16" t="s">
        <v>42</v>
      </c>
    </row>
    <row r="17" spans="4:5" ht="12.75">
      <c r="D17">
        <v>2002</v>
      </c>
      <c r="E17" s="28">
        <v>1000</v>
      </c>
    </row>
    <row r="18" spans="4:5" ht="12.75">
      <c r="D18">
        <v>2003</v>
      </c>
      <c r="E18" s="28">
        <v>2000</v>
      </c>
    </row>
    <row r="19" spans="4:5" ht="12.75">
      <c r="D19">
        <v>2004</v>
      </c>
      <c r="E19" s="28">
        <v>3000</v>
      </c>
    </row>
    <row r="20" spans="4:5" ht="12.75">
      <c r="D20">
        <v>2005</v>
      </c>
      <c r="E20" s="28">
        <v>4000</v>
      </c>
    </row>
    <row r="21" spans="4:5" ht="12.75">
      <c r="D21">
        <v>2006</v>
      </c>
      <c r="E21" s="28">
        <v>5000</v>
      </c>
    </row>
    <row r="22" spans="4:5" ht="12.75">
      <c r="D22">
        <v>2007</v>
      </c>
      <c r="E22" s="28">
        <v>5000</v>
      </c>
    </row>
    <row r="23" spans="4:5" ht="12.75">
      <c r="D23">
        <v>2008</v>
      </c>
      <c r="E23" s="28">
        <v>5000</v>
      </c>
    </row>
    <row r="24" spans="4:5" ht="12.75">
      <c r="D24">
        <v>2009</v>
      </c>
      <c r="E24" s="28">
        <v>5500</v>
      </c>
    </row>
    <row r="25" spans="4:5" ht="12.75">
      <c r="D25">
        <v>2010</v>
      </c>
      <c r="E25" s="28">
        <v>5500</v>
      </c>
    </row>
    <row r="26" spans="4:5" ht="12.75">
      <c r="D26">
        <v>2011</v>
      </c>
      <c r="E26" s="28">
        <v>5500</v>
      </c>
    </row>
    <row r="27" spans="4:5" ht="12.75">
      <c r="D27">
        <v>2012</v>
      </c>
      <c r="E27" s="28">
        <v>5500</v>
      </c>
    </row>
    <row r="28" spans="4:5" ht="12.75">
      <c r="D28">
        <v>2013</v>
      </c>
      <c r="E28" s="28">
        <v>5500</v>
      </c>
    </row>
    <row r="29" spans="4:5" ht="12.75">
      <c r="D29">
        <v>2014</v>
      </c>
      <c r="E29" s="28">
        <v>5500</v>
      </c>
    </row>
    <row r="30" spans="4:5" ht="12.75">
      <c r="D30">
        <v>2015</v>
      </c>
      <c r="E30" s="28">
        <v>5500</v>
      </c>
    </row>
    <row r="31" spans="4:5" ht="12.75">
      <c r="D31">
        <v>2016</v>
      </c>
      <c r="E31" s="28">
        <v>5500</v>
      </c>
    </row>
    <row r="32" spans="4:5" ht="12.75">
      <c r="D32">
        <v>2017</v>
      </c>
      <c r="E32" s="28">
        <v>6000</v>
      </c>
    </row>
    <row r="33" spans="4:5" ht="12.75">
      <c r="D33">
        <v>2018</v>
      </c>
      <c r="E33" s="28">
        <v>6000</v>
      </c>
    </row>
    <row r="34" spans="4:5" ht="12.75">
      <c r="D34">
        <v>2019</v>
      </c>
      <c r="E34" s="28">
        <v>6000</v>
      </c>
    </row>
  </sheetData>
  <sheetProtection/>
  <printOptions/>
  <pageMargins left="0.75" right="0.75" top="1" bottom="1" header="0.5118055555555555" footer="0.5118055555555555"/>
  <pageSetup fitToHeight="1" fitToWidth="1" horizontalDpi="600" verticalDpi="600" orientation="landscape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3:U136"/>
  <sheetViews>
    <sheetView zoomScale="87" zoomScaleNormal="87" zoomScalePageLayoutView="42" workbookViewId="0" topLeftCell="A1">
      <selection activeCell="E11" sqref="E11"/>
    </sheetView>
  </sheetViews>
  <sheetFormatPr defaultColWidth="8.8515625" defaultRowHeight="12.75"/>
  <cols>
    <col min="1" max="1" width="12.421875" style="31" customWidth="1"/>
    <col min="2" max="2" width="19.140625" style="31" customWidth="1"/>
    <col min="3" max="3" width="8.8515625" style="31" customWidth="1"/>
    <col min="4" max="4" width="12.57421875" style="31" customWidth="1"/>
    <col min="5" max="5" width="13.57421875" style="31" customWidth="1"/>
    <col min="6" max="6" width="10.7109375" style="31" customWidth="1"/>
    <col min="7" max="7" width="10.00390625" style="31" customWidth="1"/>
    <col min="8" max="8" width="14.57421875" style="31" customWidth="1"/>
    <col min="9" max="9" width="2.8515625" style="31" customWidth="1"/>
    <col min="10" max="10" width="18.421875" style="31" customWidth="1"/>
    <col min="11" max="11" width="16.00390625" style="31" customWidth="1"/>
    <col min="12" max="12" width="13.57421875" style="31" customWidth="1"/>
    <col min="13" max="13" width="9.8515625" style="33" customWidth="1"/>
    <col min="14" max="14" width="9.140625" style="30" customWidth="1"/>
    <col min="15" max="16" width="9.140625" style="96" hidden="1" customWidth="1"/>
    <col min="17" max="17" width="9.140625" style="30" hidden="1" customWidth="1"/>
    <col min="18" max="18" width="7.57421875" style="30" hidden="1" customWidth="1"/>
    <col min="19" max="19" width="10.28125" style="31" customWidth="1"/>
    <col min="20" max="16384" width="8.8515625" style="31" customWidth="1"/>
  </cols>
  <sheetData>
    <row r="1" ht="15.75"/>
    <row r="2" ht="15.75"/>
    <row r="3" spans="1:13" ht="19.5" customHeight="1">
      <c r="A3" s="110" t="str">
        <f>"403(b) TAX SHELTERED ANNUITY MAXIMUM CONTRIBUTION WORKSHEET – "&amp;Yr&amp;" TAX YEAR"</f>
        <v>403(b) TAX SHELTERED ANNUITY MAXIMUM CONTRIBUTION WORKSHEET – 2019 TAX YEAR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19.5" customHeight="1">
      <c r="A4" s="110" t="s">
        <v>43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ht="6.75" customHeight="1"/>
    <row r="6" spans="1:18" s="95" customFormat="1" ht="17.25" customHeight="1">
      <c r="A6" s="116" t="s">
        <v>110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94"/>
      <c r="O6" s="97"/>
      <c r="P6" s="97"/>
      <c r="Q6" s="94"/>
      <c r="R6" s="94"/>
    </row>
    <row r="7" spans="1:18" s="95" customFormat="1" ht="17.25" customHeight="1">
      <c r="A7" s="117" t="s">
        <v>113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94"/>
      <c r="O7" s="97"/>
      <c r="P7" s="97"/>
      <c r="Q7" s="94"/>
      <c r="R7" s="94"/>
    </row>
    <row r="8" spans="1:18" s="95" customFormat="1" ht="17.25" customHeight="1">
      <c r="A8" s="117" t="s">
        <v>111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94"/>
      <c r="O8" s="97"/>
      <c r="P8" s="97"/>
      <c r="Q8" s="94"/>
      <c r="R8" s="94"/>
    </row>
    <row r="9" ht="15.75">
      <c r="A9" s="32"/>
    </row>
    <row r="10" spans="1:13" ht="15.75">
      <c r="A10" s="34" t="s">
        <v>44</v>
      </c>
      <c r="B10" s="35"/>
      <c r="C10" s="35"/>
      <c r="D10" s="35"/>
      <c r="E10" s="34" t="s">
        <v>45</v>
      </c>
      <c r="F10" s="35"/>
      <c r="G10" s="36"/>
      <c r="H10" s="34" t="s">
        <v>46</v>
      </c>
      <c r="I10" s="35"/>
      <c r="J10" s="34" t="s">
        <v>47</v>
      </c>
      <c r="K10" s="35"/>
      <c r="L10" s="35"/>
      <c r="M10" s="37"/>
    </row>
    <row r="11" spans="1:13" ht="15.75">
      <c r="A11" s="38" t="str">
        <f>"   "&amp;'Data Entry'!E15&amp;", "&amp;'Data Entry'!B15&amp;" "&amp;'Data Entry'!G15</f>
        <v>   ,  </v>
      </c>
      <c r="B11" s="39"/>
      <c r="C11" s="39"/>
      <c r="D11" s="39"/>
      <c r="E11" s="105">
        <f>'Data Entry'!B17</f>
        <v>0</v>
      </c>
      <c r="F11" s="90"/>
      <c r="G11" s="91"/>
      <c r="H11" s="92">
        <f>IF(ISBLANK(DOB),"","   "&amp;TEXT(DOB,"0000"))</f>
      </c>
      <c r="I11" s="90"/>
      <c r="J11" s="93" t="str">
        <f>"      "&amp;phone&amp;"      "&amp;EMAIL</f>
        <v>            </v>
      </c>
      <c r="K11" s="90"/>
      <c r="L11" s="90"/>
      <c r="M11" s="40"/>
    </row>
    <row r="12" spans="1:13" ht="7.5" customHeight="1" thickBot="1">
      <c r="A12" s="41"/>
      <c r="B12" s="42"/>
      <c r="C12" s="42"/>
      <c r="D12" s="42"/>
      <c r="E12" s="43"/>
      <c r="F12" s="42"/>
      <c r="G12" s="44"/>
      <c r="H12" s="43"/>
      <c r="I12" s="42"/>
      <c r="J12" s="43"/>
      <c r="K12" s="42"/>
      <c r="L12" s="42"/>
      <c r="M12" s="45"/>
    </row>
    <row r="13" ht="10.5" customHeight="1">
      <c r="A13" s="32"/>
    </row>
    <row r="14" spans="1:13" ht="15" customHeight="1">
      <c r="A14" s="114" t="s">
        <v>127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</row>
    <row r="15" spans="1:13" ht="15" customHeight="1">
      <c r="A15" s="114" t="s">
        <v>128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</row>
    <row r="16" spans="1:13" ht="15.75" customHeight="1">
      <c r="A16" s="114" t="s">
        <v>123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</row>
    <row r="17" spans="1:13" ht="14.25" customHeight="1">
      <c r="A17" s="114" t="s">
        <v>124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</row>
    <row r="18" ht="15.75" customHeight="1"/>
    <row r="19" spans="1:3" ht="19.5" customHeight="1">
      <c r="A19" s="47" t="s">
        <v>48</v>
      </c>
      <c r="B19" s="89"/>
      <c r="C19" s="89"/>
    </row>
    <row r="20" spans="1:13" ht="33" customHeight="1">
      <c r="A20" s="111" t="s">
        <v>112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</row>
    <row r="22" ht="18.75" customHeight="1">
      <c r="A22" s="47" t="s">
        <v>49</v>
      </c>
    </row>
    <row r="23" spans="1:13" ht="18" customHeight="1">
      <c r="A23" s="48" t="s">
        <v>114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13" ht="16.5" customHeight="1">
      <c r="A24" s="48" t="s">
        <v>129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15" customHeight="1">
      <c r="A25" s="48" t="s">
        <v>125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3" ht="15.75">
      <c r="A26" s="48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ht="15.75">
      <c r="A27" s="48"/>
    </row>
    <row r="28" spans="1:2" ht="15.75">
      <c r="A28" s="49" t="s">
        <v>50</v>
      </c>
      <c r="B28" s="50" t="s">
        <v>121</v>
      </c>
    </row>
    <row r="29" spans="2:13" ht="15" customHeight="1">
      <c r="B29" s="115" t="s">
        <v>122</v>
      </c>
      <c r="C29" s="115"/>
      <c r="D29" s="115"/>
      <c r="E29" s="115"/>
      <c r="L29" s="51">
        <f>Service</f>
        <v>0</v>
      </c>
      <c r="M29" s="33" t="s">
        <v>51</v>
      </c>
    </row>
    <row r="31" spans="1:12" ht="18" customHeight="1">
      <c r="A31" s="52" t="s">
        <v>52</v>
      </c>
      <c r="B31" s="53" t="str">
        <f>"Enter your maximum "&amp;Yr&amp;" §403(b) contribution under the §415(c) limit:  the lesser of the 100% of compensation or "&amp;DOLLAR(Limit415,0)&amp;"."</f>
        <v>Enter your maximum 2019 §403(b) contribution under the §415(c) limit:  the lesser of the 100% of compensation or $56,000.</v>
      </c>
      <c r="C31" s="54"/>
      <c r="D31" s="54"/>
      <c r="E31" s="54"/>
      <c r="F31" s="54"/>
      <c r="G31" s="54"/>
      <c r="H31" s="54"/>
      <c r="I31" s="54"/>
      <c r="J31" s="54"/>
      <c r="L31" s="55"/>
    </row>
    <row r="32" spans="1:12" ht="18" customHeight="1">
      <c r="A32" s="52"/>
      <c r="B32" s="53" t="s">
        <v>115</v>
      </c>
      <c r="C32" s="54"/>
      <c r="D32" s="54"/>
      <c r="E32" s="54"/>
      <c r="F32" s="54"/>
      <c r="G32" s="54"/>
      <c r="H32" s="54"/>
      <c r="I32" s="54"/>
      <c r="J32" s="54"/>
      <c r="L32" s="55"/>
    </row>
    <row r="33" spans="1:12" ht="18" customHeight="1">
      <c r="A33" s="52"/>
      <c r="B33" s="53" t="s">
        <v>116</v>
      </c>
      <c r="C33" s="54"/>
      <c r="D33" s="54"/>
      <c r="E33" s="54"/>
      <c r="F33" s="54"/>
      <c r="G33" s="54"/>
      <c r="H33" s="54"/>
      <c r="I33" s="54"/>
      <c r="J33" s="54"/>
      <c r="L33" s="55"/>
    </row>
    <row r="34" spans="1:13" ht="18" customHeight="1" thickBot="1">
      <c r="A34" s="52"/>
      <c r="B34" s="53" t="s">
        <v>117</v>
      </c>
      <c r="C34" s="54"/>
      <c r="D34" s="54"/>
      <c r="E34" s="54"/>
      <c r="F34" s="54"/>
      <c r="G34" s="54"/>
      <c r="H34" s="54"/>
      <c r="I34" s="54"/>
      <c r="J34" s="54"/>
      <c r="L34" s="56">
        <f>MIN(Limit415,COMP)</f>
        <v>56000</v>
      </c>
      <c r="M34" s="33" t="s">
        <v>53</v>
      </c>
    </row>
    <row r="35" spans="1:10" ht="15" customHeight="1">
      <c r="A35" s="52"/>
      <c r="B35" s="53"/>
      <c r="C35" s="54"/>
      <c r="D35" s="54"/>
      <c r="E35" s="54"/>
      <c r="F35" s="54"/>
      <c r="G35" s="54"/>
      <c r="H35" s="54"/>
      <c r="I35" s="54"/>
      <c r="J35" s="54"/>
    </row>
    <row r="36" spans="1:12" ht="15" customHeight="1">
      <c r="A36" s="52"/>
      <c r="B36" s="54"/>
      <c r="C36" s="54"/>
      <c r="D36" s="54"/>
      <c r="E36" s="54"/>
      <c r="F36" s="54"/>
      <c r="G36" s="54"/>
      <c r="H36" s="54"/>
      <c r="I36" s="54"/>
      <c r="J36" s="54"/>
      <c r="L36" s="55"/>
    </row>
    <row r="37" spans="1:2" ht="15.75">
      <c r="A37" s="49" t="s">
        <v>54</v>
      </c>
      <c r="B37" s="31" t="s">
        <v>55</v>
      </c>
    </row>
    <row r="38" ht="9" customHeight="1"/>
    <row r="39" spans="2:12" ht="15.75">
      <c r="B39" s="57" t="s">
        <v>56</v>
      </c>
      <c r="D39" s="57" t="s">
        <v>57</v>
      </c>
      <c r="F39" s="57" t="s">
        <v>58</v>
      </c>
      <c r="H39" s="57" t="s">
        <v>59</v>
      </c>
      <c r="J39" s="57" t="s">
        <v>60</v>
      </c>
      <c r="K39" s="57" t="s">
        <v>61</v>
      </c>
      <c r="L39" s="57" t="s">
        <v>62</v>
      </c>
    </row>
    <row r="40" spans="2:19" ht="63">
      <c r="B40" s="57" t="s">
        <v>14</v>
      </c>
      <c r="D40" s="57" t="s">
        <v>63</v>
      </c>
      <c r="F40" s="57" t="s">
        <v>64</v>
      </c>
      <c r="H40" s="58" t="s">
        <v>65</v>
      </c>
      <c r="J40" s="58" t="s">
        <v>66</v>
      </c>
      <c r="K40" s="58" t="s">
        <v>67</v>
      </c>
      <c r="L40" s="58" t="s">
        <v>68</v>
      </c>
      <c r="O40" s="96" t="s">
        <v>69</v>
      </c>
      <c r="P40" s="96" t="s">
        <v>29</v>
      </c>
      <c r="R40" s="59"/>
      <c r="S40" s="60"/>
    </row>
    <row r="41" spans="2:19" ht="7.5" customHeight="1">
      <c r="B41" s="57"/>
      <c r="D41" s="57"/>
      <c r="F41" s="57"/>
      <c r="H41" s="57"/>
      <c r="R41" s="59"/>
      <c r="S41" s="60"/>
    </row>
    <row r="42" spans="2:17" ht="15.75">
      <c r="B42" s="57">
        <v>1987</v>
      </c>
      <c r="D42" s="61">
        <f>'Data Entry'!B39</f>
        <v>0</v>
      </c>
      <c r="E42" s="57" t="s">
        <v>70</v>
      </c>
      <c r="F42" s="62">
        <v>9500</v>
      </c>
      <c r="G42" s="57" t="s">
        <v>71</v>
      </c>
      <c r="H42" s="61">
        <f>MAX(0,D42-F42)</f>
        <v>0</v>
      </c>
      <c r="J42" s="63">
        <f>IF(P42&gt;=15,1,0)*MIN(H42,3000)</f>
        <v>0</v>
      </c>
      <c r="K42" s="63">
        <v>0</v>
      </c>
      <c r="L42" s="64">
        <f>H42-J42-K42</f>
        <v>0</v>
      </c>
      <c r="M42" s="65"/>
      <c r="O42" s="96">
        <f>B42-DOB</f>
        <v>1987</v>
      </c>
      <c r="P42" s="98">
        <f>P43-VLOOKUP(B42+1,'Years of Service'!$E$23:$F$47,2,FALSE)</f>
        <v>0</v>
      </c>
      <c r="Q42" s="30">
        <f>SUMIF('Years of Service'!$B$23:$B$53,"&lt;="&amp;B42,'Years of Service'!$C$23:$C$53)+SUMIF('Years of Service'!$E$23:$E$47,"&lt;="&amp;B42,'Years of Service'!$F$23:$F$47)</f>
        <v>0</v>
      </c>
    </row>
    <row r="43" spans="2:17" ht="15.75">
      <c r="B43" s="57">
        <f aca="true" t="shared" si="0" ref="B43:B74">1+B42</f>
        <v>1988</v>
      </c>
      <c r="D43" s="61">
        <f>'Data Entry'!B40</f>
        <v>0</v>
      </c>
      <c r="E43" s="57" t="s">
        <v>70</v>
      </c>
      <c r="F43" s="62">
        <v>9500</v>
      </c>
      <c r="G43" s="57" t="s">
        <v>71</v>
      </c>
      <c r="H43" s="61">
        <f aca="true" t="shared" si="1" ref="H43:H65">MAX(0,D43-F43)</f>
        <v>0</v>
      </c>
      <c r="J43" s="63">
        <f aca="true" t="shared" si="2" ref="J43:J74">IF(P43&gt;=15,1,0)*MIN(H43,3000)</f>
        <v>0</v>
      </c>
      <c r="K43" s="63">
        <v>0</v>
      </c>
      <c r="L43" s="64">
        <f aca="true" t="shared" si="3" ref="L43:L74">H43-J43-K43</f>
        <v>0</v>
      </c>
      <c r="M43" s="65"/>
      <c r="O43" s="96">
        <f aca="true" t="shared" si="4" ref="O43:O66">B43-DOB</f>
        <v>1988</v>
      </c>
      <c r="P43" s="98">
        <f>P44-VLOOKUP(B43+1,'Years of Service'!$B$23:$C$53,2,FALSE)</f>
        <v>0</v>
      </c>
      <c r="Q43" s="30">
        <f>SUMIF('Years of Service'!$B$23:$B$53,"&lt;="&amp;B43,'Years of Service'!$C$23:$C$53)+SUMIF('Years of Service'!$E$23:$E$47,"&lt;="&amp;B43,'Years of Service'!$F$23:$F$47)</f>
        <v>0</v>
      </c>
    </row>
    <row r="44" spans="2:17" ht="15.75">
      <c r="B44" s="57">
        <f t="shared" si="0"/>
        <v>1989</v>
      </c>
      <c r="D44" s="61">
        <f>'Data Entry'!B41</f>
        <v>0</v>
      </c>
      <c r="E44" s="57" t="s">
        <v>70</v>
      </c>
      <c r="F44" s="62">
        <v>9500</v>
      </c>
      <c r="G44" s="57" t="s">
        <v>71</v>
      </c>
      <c r="H44" s="61">
        <f t="shared" si="1"/>
        <v>0</v>
      </c>
      <c r="J44" s="63">
        <f t="shared" si="2"/>
        <v>0</v>
      </c>
      <c r="K44" s="63">
        <v>0</v>
      </c>
      <c r="L44" s="64">
        <f t="shared" si="3"/>
        <v>0</v>
      </c>
      <c r="M44" s="65"/>
      <c r="O44" s="96">
        <f t="shared" si="4"/>
        <v>1989</v>
      </c>
      <c r="P44" s="98">
        <f>P45-VLOOKUP(B44,'Years of Service'!$B$23:$C$53,2,FALSE)</f>
        <v>0</v>
      </c>
      <c r="Q44" s="30">
        <f>SUMIF('Years of Service'!$B$23:$B$53,"&lt;="&amp;B44,'Years of Service'!$C$23:$C$53)+SUMIF('Years of Service'!$E$23:$E$47,"&lt;="&amp;B44,'Years of Service'!$F$23:$F$47)</f>
        <v>0</v>
      </c>
    </row>
    <row r="45" spans="2:17" ht="15.75">
      <c r="B45" s="57">
        <f t="shared" si="0"/>
        <v>1990</v>
      </c>
      <c r="D45" s="61">
        <f>'Data Entry'!B42</f>
        <v>0</v>
      </c>
      <c r="E45" s="57" t="s">
        <v>70</v>
      </c>
      <c r="F45" s="62">
        <v>9500</v>
      </c>
      <c r="G45" s="57" t="s">
        <v>71</v>
      </c>
      <c r="H45" s="61">
        <f t="shared" si="1"/>
        <v>0</v>
      </c>
      <c r="J45" s="63">
        <f t="shared" si="2"/>
        <v>0</v>
      </c>
      <c r="K45" s="63">
        <v>0</v>
      </c>
      <c r="L45" s="64">
        <f t="shared" si="3"/>
        <v>0</v>
      </c>
      <c r="M45" s="65"/>
      <c r="O45" s="96">
        <f t="shared" si="4"/>
        <v>1990</v>
      </c>
      <c r="P45" s="98">
        <f>P46-VLOOKUP(B45+1,'Years of Service'!$B$23:$C$53,2,FALSE)</f>
        <v>0</v>
      </c>
      <c r="Q45" s="30">
        <f>SUMIF('Years of Service'!$B$23:$B$53,"&lt;="&amp;B45,'Years of Service'!$C$23:$C$53)+SUMIF('Years of Service'!$E$23:$E$47,"&lt;="&amp;B45,'Years of Service'!$F$23:$F$47)</f>
        <v>0</v>
      </c>
    </row>
    <row r="46" spans="2:17" ht="15.75">
      <c r="B46" s="57">
        <f t="shared" si="0"/>
        <v>1991</v>
      </c>
      <c r="D46" s="61">
        <f>'Data Entry'!B43</f>
        <v>0</v>
      </c>
      <c r="E46" s="57" t="s">
        <v>70</v>
      </c>
      <c r="F46" s="62">
        <v>9500</v>
      </c>
      <c r="G46" s="57" t="s">
        <v>71</v>
      </c>
      <c r="H46" s="61">
        <f>MAX(0,D46-F46)</f>
        <v>0</v>
      </c>
      <c r="J46" s="63">
        <f t="shared" si="2"/>
        <v>0</v>
      </c>
      <c r="K46" s="63">
        <v>0</v>
      </c>
      <c r="L46" s="64">
        <f t="shared" si="3"/>
        <v>0</v>
      </c>
      <c r="M46" s="65"/>
      <c r="O46" s="96">
        <f>B46-DOB</f>
        <v>1991</v>
      </c>
      <c r="P46" s="98">
        <f>P47-VLOOKUP(B46+1,'Years of Service'!$B$23:$C$53,2,FALSE)</f>
        <v>0</v>
      </c>
      <c r="Q46" s="30">
        <f>SUMIF('Years of Service'!$B$23:$B$53,"&lt;="&amp;B46,'Years of Service'!$C$23:$C$53)+SUMIF('Years of Service'!$E$23:$E$47,"&lt;="&amp;B46,'Years of Service'!$F$23:$F$47)</f>
        <v>0</v>
      </c>
    </row>
    <row r="47" spans="2:17" ht="15.75">
      <c r="B47" s="57">
        <f t="shared" si="0"/>
        <v>1992</v>
      </c>
      <c r="D47" s="61">
        <f>'Data Entry'!B44</f>
        <v>0</v>
      </c>
      <c r="E47" s="57" t="s">
        <v>70</v>
      </c>
      <c r="F47" s="62">
        <v>9500</v>
      </c>
      <c r="G47" s="57" t="s">
        <v>71</v>
      </c>
      <c r="H47" s="61">
        <f t="shared" si="1"/>
        <v>0</v>
      </c>
      <c r="J47" s="63">
        <f t="shared" si="2"/>
        <v>0</v>
      </c>
      <c r="K47" s="63">
        <v>0</v>
      </c>
      <c r="L47" s="64">
        <f t="shared" si="3"/>
        <v>0</v>
      </c>
      <c r="M47" s="65"/>
      <c r="O47" s="96">
        <f t="shared" si="4"/>
        <v>1992</v>
      </c>
      <c r="P47" s="98">
        <f>P48-VLOOKUP(B47+1,'Years of Service'!$B$23:$C$53,2,FALSE)</f>
        <v>0</v>
      </c>
      <c r="Q47" s="30">
        <f>SUMIF('Years of Service'!$B$23:$B$53,"&lt;="&amp;B47,'Years of Service'!$C$23:$C$53)+SUMIF('Years of Service'!$E$23:$E$47,"&lt;="&amp;B47,'Years of Service'!$F$23:$F$47)</f>
        <v>0</v>
      </c>
    </row>
    <row r="48" spans="2:17" ht="15.75">
      <c r="B48" s="57">
        <f t="shared" si="0"/>
        <v>1993</v>
      </c>
      <c r="D48" s="61">
        <f>'Data Entry'!B45</f>
        <v>0</v>
      </c>
      <c r="E48" s="57" t="s">
        <v>70</v>
      </c>
      <c r="F48" s="62">
        <v>9500</v>
      </c>
      <c r="G48" s="57" t="s">
        <v>71</v>
      </c>
      <c r="H48" s="61">
        <f aca="true" t="shared" si="5" ref="H48:H56">MAX(0,D48-F48)</f>
        <v>0</v>
      </c>
      <c r="J48" s="63">
        <f t="shared" si="2"/>
        <v>0</v>
      </c>
      <c r="K48" s="63">
        <v>0</v>
      </c>
      <c r="L48" s="64">
        <f t="shared" si="3"/>
        <v>0</v>
      </c>
      <c r="M48" s="65"/>
      <c r="O48" s="96">
        <f aca="true" t="shared" si="6" ref="O48:O56">B48-DOB</f>
        <v>1993</v>
      </c>
      <c r="P48" s="98">
        <f>P49-VLOOKUP(B48+1,'Years of Service'!$B$23:$C$53,2,FALSE)</f>
        <v>0</v>
      </c>
      <c r="Q48" s="30">
        <f>SUMIF('Years of Service'!$B$23:$B$53,"&lt;="&amp;B48,'Years of Service'!$C$23:$C$53)+SUMIF('Years of Service'!$E$23:$E$47,"&lt;="&amp;B48,'Years of Service'!$F$23:$F$47)</f>
        <v>0</v>
      </c>
    </row>
    <row r="49" spans="2:17" ht="15.75">
      <c r="B49" s="57">
        <f t="shared" si="0"/>
        <v>1994</v>
      </c>
      <c r="D49" s="61">
        <f>'Data Entry'!B46</f>
        <v>0</v>
      </c>
      <c r="E49" s="57" t="s">
        <v>70</v>
      </c>
      <c r="F49" s="62">
        <v>9500</v>
      </c>
      <c r="G49" s="57" t="s">
        <v>71</v>
      </c>
      <c r="H49" s="61">
        <f t="shared" si="5"/>
        <v>0</v>
      </c>
      <c r="J49" s="63">
        <f t="shared" si="2"/>
        <v>0</v>
      </c>
      <c r="K49" s="63">
        <v>0</v>
      </c>
      <c r="L49" s="64">
        <f t="shared" si="3"/>
        <v>0</v>
      </c>
      <c r="M49" s="65"/>
      <c r="O49" s="96">
        <f t="shared" si="6"/>
        <v>1994</v>
      </c>
      <c r="P49" s="98">
        <f>P50-VLOOKUP(B49+1,'Years of Service'!$B$23:$C$53,2,FALSE)</f>
        <v>0</v>
      </c>
      <c r="Q49" s="30">
        <f>SUMIF('Years of Service'!$B$23:$B$53,"&lt;="&amp;B49,'Years of Service'!$C$23:$C$53)+SUMIF('Years of Service'!$E$23:$E$47,"&lt;="&amp;B49,'Years of Service'!$F$23:$F$47)</f>
        <v>0</v>
      </c>
    </row>
    <row r="50" spans="2:17" ht="15.75">
      <c r="B50" s="57">
        <f t="shared" si="0"/>
        <v>1995</v>
      </c>
      <c r="D50" s="61">
        <f>'Data Entry'!B47</f>
        <v>0</v>
      </c>
      <c r="E50" s="57" t="s">
        <v>70</v>
      </c>
      <c r="F50" s="62">
        <v>9500</v>
      </c>
      <c r="G50" s="57" t="s">
        <v>71</v>
      </c>
      <c r="H50" s="61">
        <f t="shared" si="5"/>
        <v>0</v>
      </c>
      <c r="J50" s="63">
        <f t="shared" si="2"/>
        <v>0</v>
      </c>
      <c r="K50" s="63">
        <v>0</v>
      </c>
      <c r="L50" s="64">
        <f t="shared" si="3"/>
        <v>0</v>
      </c>
      <c r="M50" s="65"/>
      <c r="O50" s="96">
        <f t="shared" si="6"/>
        <v>1995</v>
      </c>
      <c r="P50" s="98">
        <f>P51-VLOOKUP(B50+1,'Years of Service'!$B$23:$C$53,2,FALSE)</f>
        <v>0</v>
      </c>
      <c r="Q50" s="30">
        <f>SUMIF('Years of Service'!$B$23:$B$53,"&lt;="&amp;B50,'Years of Service'!$C$23:$C$53)+SUMIF('Years of Service'!$E$23:$E$47,"&lt;="&amp;B50,'Years of Service'!$F$23:$F$47)</f>
        <v>0</v>
      </c>
    </row>
    <row r="51" spans="2:17" ht="15.75">
      <c r="B51" s="57">
        <f t="shared" si="0"/>
        <v>1996</v>
      </c>
      <c r="D51" s="61">
        <f>'Data Entry'!B48</f>
        <v>0</v>
      </c>
      <c r="E51" s="57" t="s">
        <v>70</v>
      </c>
      <c r="F51" s="62">
        <v>9500</v>
      </c>
      <c r="G51" s="57" t="s">
        <v>71</v>
      </c>
      <c r="H51" s="61">
        <f t="shared" si="5"/>
        <v>0</v>
      </c>
      <c r="J51" s="63">
        <f t="shared" si="2"/>
        <v>0</v>
      </c>
      <c r="K51" s="63">
        <v>0</v>
      </c>
      <c r="L51" s="64">
        <f t="shared" si="3"/>
        <v>0</v>
      </c>
      <c r="M51" s="65"/>
      <c r="O51" s="96">
        <f t="shared" si="6"/>
        <v>1996</v>
      </c>
      <c r="P51" s="98">
        <f>P52-VLOOKUP(B51+1,'Years of Service'!$B$23:$C$53,2,FALSE)</f>
        <v>0</v>
      </c>
      <c r="Q51" s="30">
        <f>SUMIF('Years of Service'!$B$23:$B$53,"&lt;="&amp;B51,'Years of Service'!$C$23:$C$53)+SUMIF('Years of Service'!$E$23:$E$47,"&lt;="&amp;B51,'Years of Service'!$F$23:$F$47)</f>
        <v>0</v>
      </c>
    </row>
    <row r="52" spans="2:17" ht="15.75">
      <c r="B52" s="57">
        <f t="shared" si="0"/>
        <v>1997</v>
      </c>
      <c r="D52" s="61">
        <f>'Data Entry'!B49</f>
        <v>0</v>
      </c>
      <c r="E52" s="57" t="s">
        <v>70</v>
      </c>
      <c r="F52" s="62">
        <v>9500</v>
      </c>
      <c r="G52" s="57" t="s">
        <v>71</v>
      </c>
      <c r="H52" s="61">
        <f t="shared" si="5"/>
        <v>0</v>
      </c>
      <c r="J52" s="63">
        <f t="shared" si="2"/>
        <v>0</v>
      </c>
      <c r="K52" s="63">
        <v>0</v>
      </c>
      <c r="L52" s="64">
        <f t="shared" si="3"/>
        <v>0</v>
      </c>
      <c r="M52" s="65"/>
      <c r="O52" s="96">
        <f t="shared" si="6"/>
        <v>1997</v>
      </c>
      <c r="P52" s="98">
        <f>P53-VLOOKUP(B52+1,'Years of Service'!$B$23:$C$53,2,FALSE)</f>
        <v>0</v>
      </c>
      <c r="Q52" s="30">
        <f>SUMIF('Years of Service'!$B$23:$B$53,"&lt;="&amp;B52,'Years of Service'!$C$23:$C$53)+SUMIF('Years of Service'!$E$23:$E$47,"&lt;="&amp;B52,'Years of Service'!$F$23:$F$47)</f>
        <v>0</v>
      </c>
    </row>
    <row r="53" spans="2:17" ht="15.75">
      <c r="B53" s="57">
        <f t="shared" si="0"/>
        <v>1998</v>
      </c>
      <c r="D53" s="61">
        <f>'Data Entry'!B50</f>
        <v>0</v>
      </c>
      <c r="E53" s="57" t="s">
        <v>70</v>
      </c>
      <c r="F53" s="62">
        <v>9500</v>
      </c>
      <c r="G53" s="57" t="s">
        <v>71</v>
      </c>
      <c r="H53" s="61">
        <f t="shared" si="5"/>
        <v>0</v>
      </c>
      <c r="J53" s="63">
        <f t="shared" si="2"/>
        <v>0</v>
      </c>
      <c r="K53" s="63">
        <v>0</v>
      </c>
      <c r="L53" s="64">
        <f t="shared" si="3"/>
        <v>0</v>
      </c>
      <c r="M53" s="65"/>
      <c r="O53" s="96">
        <f t="shared" si="6"/>
        <v>1998</v>
      </c>
      <c r="P53" s="98">
        <f>P54-VLOOKUP(B53+1,'Years of Service'!$B$23:$C$53,2,FALSE)</f>
        <v>0</v>
      </c>
      <c r="Q53" s="30">
        <f>SUMIF('Years of Service'!$B$23:$B$53,"&lt;="&amp;B53,'Years of Service'!$C$23:$C$53)+SUMIF('Years of Service'!$E$23:$E$47,"&lt;="&amp;B53,'Years of Service'!$F$23:$F$47)</f>
        <v>0</v>
      </c>
    </row>
    <row r="54" spans="2:17" ht="15.75">
      <c r="B54" s="57">
        <f t="shared" si="0"/>
        <v>1999</v>
      </c>
      <c r="D54" s="61">
        <f>'Data Entry'!B51</f>
        <v>0</v>
      </c>
      <c r="E54" s="57" t="s">
        <v>70</v>
      </c>
      <c r="F54" s="62">
        <v>9500</v>
      </c>
      <c r="G54" s="57" t="s">
        <v>71</v>
      </c>
      <c r="H54" s="61">
        <f t="shared" si="5"/>
        <v>0</v>
      </c>
      <c r="J54" s="63">
        <f t="shared" si="2"/>
        <v>0</v>
      </c>
      <c r="K54" s="63">
        <v>0</v>
      </c>
      <c r="L54" s="64">
        <f t="shared" si="3"/>
        <v>0</v>
      </c>
      <c r="M54" s="65"/>
      <c r="O54" s="96">
        <f t="shared" si="6"/>
        <v>1999</v>
      </c>
      <c r="P54" s="98">
        <f>P55-VLOOKUP(B54+1,'Years of Service'!$B$23:$C$53,2,FALSE)</f>
        <v>0</v>
      </c>
      <c r="Q54" s="30">
        <f>SUMIF('Years of Service'!$B$23:$B$53,"&lt;="&amp;B54,'Years of Service'!$C$23:$C$53)+SUMIF('Years of Service'!$E$23:$E$47,"&lt;="&amp;B54,'Years of Service'!$F$23:$F$47)</f>
        <v>0</v>
      </c>
    </row>
    <row r="55" spans="2:17" ht="15.75">
      <c r="B55" s="57">
        <f t="shared" si="0"/>
        <v>2000</v>
      </c>
      <c r="D55" s="61">
        <f>'Data Entry'!B52</f>
        <v>0</v>
      </c>
      <c r="E55" s="57" t="s">
        <v>70</v>
      </c>
      <c r="F55" s="62">
        <v>9500</v>
      </c>
      <c r="G55" s="57" t="s">
        <v>71</v>
      </c>
      <c r="H55" s="61">
        <f t="shared" si="5"/>
        <v>0</v>
      </c>
      <c r="J55" s="63">
        <f t="shared" si="2"/>
        <v>0</v>
      </c>
      <c r="K55" s="63">
        <v>0</v>
      </c>
      <c r="L55" s="64">
        <f t="shared" si="3"/>
        <v>0</v>
      </c>
      <c r="M55" s="65"/>
      <c r="O55" s="96">
        <f t="shared" si="6"/>
        <v>2000</v>
      </c>
      <c r="P55" s="98">
        <f>P56-VLOOKUP(B55+1,'Years of Service'!$B$23:$C$53,2,FALSE)</f>
        <v>0</v>
      </c>
      <c r="Q55" s="30">
        <f>SUMIF('Years of Service'!$B$23:$B$53,"&lt;="&amp;B55,'Years of Service'!$C$23:$C$53)+SUMIF('Years of Service'!$E$23:$E$47,"&lt;="&amp;B55,'Years of Service'!$F$23:$F$47)</f>
        <v>0</v>
      </c>
    </row>
    <row r="56" spans="2:21" ht="15.75">
      <c r="B56" s="57">
        <f t="shared" si="0"/>
        <v>2001</v>
      </c>
      <c r="D56" s="61">
        <f>'Data Entry'!B53</f>
        <v>0</v>
      </c>
      <c r="E56" s="57" t="s">
        <v>70</v>
      </c>
      <c r="F56" s="62">
        <v>9500</v>
      </c>
      <c r="G56" s="57" t="s">
        <v>71</v>
      </c>
      <c r="H56" s="61">
        <f t="shared" si="5"/>
        <v>0</v>
      </c>
      <c r="J56" s="63">
        <f t="shared" si="2"/>
        <v>0</v>
      </c>
      <c r="K56" s="63">
        <v>0</v>
      </c>
      <c r="L56" s="64">
        <f t="shared" si="3"/>
        <v>0</v>
      </c>
      <c r="M56" s="65"/>
      <c r="O56" s="96">
        <f t="shared" si="6"/>
        <v>2001</v>
      </c>
      <c r="P56" s="98">
        <f>P57-VLOOKUP(B56+1,'Years of Service'!$B$23:$C$53,2,FALSE)</f>
        <v>0</v>
      </c>
      <c r="Q56" s="30">
        <f>SUMIF('Years of Service'!$B$23:$B$53,"&lt;="&amp;B56,'Years of Service'!$C$23:$C$53)+SUMIF('Years of Service'!$E$23:$E$47,"&lt;="&amp;B56,'Years of Service'!$F$23:$F$47)</f>
        <v>0</v>
      </c>
      <c r="T56"/>
      <c r="U56" s="28"/>
    </row>
    <row r="57" spans="2:21" s="60" customFormat="1" ht="15.75">
      <c r="B57" s="101">
        <f t="shared" si="0"/>
        <v>2002</v>
      </c>
      <c r="D57" s="61">
        <f>'Data Entry'!B54</f>
        <v>0</v>
      </c>
      <c r="E57" s="101" t="s">
        <v>70</v>
      </c>
      <c r="F57" s="62">
        <v>11000</v>
      </c>
      <c r="G57" s="101" t="s">
        <v>71</v>
      </c>
      <c r="H57" s="61">
        <f t="shared" si="1"/>
        <v>0</v>
      </c>
      <c r="J57" s="63">
        <f t="shared" si="2"/>
        <v>0</v>
      </c>
      <c r="K57" s="63">
        <f>IF(O57&gt;=50,1,0)*MIN(H57-J57,1000)</f>
        <v>0</v>
      </c>
      <c r="L57" s="64">
        <f t="shared" si="3"/>
        <v>0</v>
      </c>
      <c r="M57" s="102"/>
      <c r="N57" s="103"/>
      <c r="O57" s="104">
        <f t="shared" si="4"/>
        <v>2002</v>
      </c>
      <c r="P57" s="98">
        <f>P58-VLOOKUP(B57+1,'Years of Service'!$B$23:$C$53,2,FALSE)</f>
        <v>0</v>
      </c>
      <c r="Q57" s="30">
        <f>SUMIF('Years of Service'!$B$23:$B$53,"&lt;="&amp;B57,'Years of Service'!$C$23:$C$53)+SUMIF('Years of Service'!$E$23:$E$47,"&lt;="&amp;B57,'Years of Service'!$F$23:$F$47)</f>
        <v>0</v>
      </c>
      <c r="R57" s="103"/>
      <c r="T57"/>
      <c r="U57" s="28"/>
    </row>
    <row r="58" spans="2:21" ht="15.75">
      <c r="B58" s="57">
        <f t="shared" si="0"/>
        <v>2003</v>
      </c>
      <c r="D58" s="61">
        <f>'Data Entry'!B55</f>
        <v>0</v>
      </c>
      <c r="E58" s="57" t="s">
        <v>70</v>
      </c>
      <c r="F58" s="62">
        <v>12000</v>
      </c>
      <c r="G58" s="57" t="s">
        <v>71</v>
      </c>
      <c r="H58" s="61">
        <f t="shared" si="1"/>
        <v>0</v>
      </c>
      <c r="J58" s="63">
        <f t="shared" si="2"/>
        <v>0</v>
      </c>
      <c r="K58" s="63">
        <f>IF(O58&gt;=50,1,0)*MIN(H58-J58,2000)</f>
        <v>0</v>
      </c>
      <c r="L58" s="64">
        <f t="shared" si="3"/>
        <v>0</v>
      </c>
      <c r="M58" s="65"/>
      <c r="O58" s="96">
        <f t="shared" si="4"/>
        <v>2003</v>
      </c>
      <c r="P58" s="98">
        <f>P59-VLOOKUP(B58+1,'Years of Service'!$B$23:$C$53,2,FALSE)</f>
        <v>0</v>
      </c>
      <c r="Q58" s="30">
        <f>SUMIF('Years of Service'!$B$23:$B$53,"&lt;="&amp;B58,'Years of Service'!$C$23:$C$53)+SUMIF('Years of Service'!$E$23:$E$47,"&lt;="&amp;B58,'Years of Service'!$F$23:$F$47)</f>
        <v>0</v>
      </c>
      <c r="T58"/>
      <c r="U58" s="28"/>
    </row>
    <row r="59" spans="2:21" ht="15.75">
      <c r="B59" s="57">
        <f t="shared" si="0"/>
        <v>2004</v>
      </c>
      <c r="D59" s="61">
        <f>'Data Entry'!B56</f>
        <v>0</v>
      </c>
      <c r="E59" s="57" t="s">
        <v>70</v>
      </c>
      <c r="F59" s="62">
        <v>13000</v>
      </c>
      <c r="G59" s="57" t="s">
        <v>71</v>
      </c>
      <c r="H59" s="61">
        <f>MAX(0,D59-F59)</f>
        <v>0</v>
      </c>
      <c r="J59" s="63">
        <f t="shared" si="2"/>
        <v>0</v>
      </c>
      <c r="K59" s="63">
        <f>IF(O59&gt;=50,1,0)*MIN(H59-J59,3000)</f>
        <v>0</v>
      </c>
      <c r="L59" s="64">
        <f t="shared" si="3"/>
        <v>0</v>
      </c>
      <c r="M59" s="65"/>
      <c r="O59" s="96">
        <f t="shared" si="4"/>
        <v>2004</v>
      </c>
      <c r="P59" s="98">
        <f>P60-VLOOKUP(B59+1,'Years of Service'!$B$23:$C$53,2,FALSE)</f>
        <v>0</v>
      </c>
      <c r="Q59" s="30">
        <f>SUMIF('Years of Service'!$B$23:$B$53,"&lt;="&amp;B59,'Years of Service'!$C$23:$C$53)+SUMIF('Years of Service'!$E$23:$E$47,"&lt;="&amp;B59,'Years of Service'!$F$23:$F$47)</f>
        <v>0</v>
      </c>
      <c r="T59"/>
      <c r="U59" s="28"/>
    </row>
    <row r="60" spans="2:21" ht="15.75">
      <c r="B60" s="57">
        <f t="shared" si="0"/>
        <v>2005</v>
      </c>
      <c r="D60" s="61">
        <f>'Data Entry'!B57</f>
        <v>0</v>
      </c>
      <c r="E60" s="57" t="s">
        <v>70</v>
      </c>
      <c r="F60" s="62">
        <v>14000</v>
      </c>
      <c r="G60" s="57" t="s">
        <v>71</v>
      </c>
      <c r="H60" s="61">
        <f t="shared" si="1"/>
        <v>0</v>
      </c>
      <c r="J60" s="63">
        <f t="shared" si="2"/>
        <v>0</v>
      </c>
      <c r="K60" s="63">
        <f>IF(O60&gt;=50,1,0)*MIN(H60-J60,4000)</f>
        <v>0</v>
      </c>
      <c r="L60" s="64">
        <f t="shared" si="3"/>
        <v>0</v>
      </c>
      <c r="M60" s="65"/>
      <c r="O60" s="96">
        <f t="shared" si="4"/>
        <v>2005</v>
      </c>
      <c r="P60" s="98">
        <f>P61-VLOOKUP(B60+1,'Years of Service'!$B$23:$C$53,2,FALSE)</f>
        <v>0</v>
      </c>
      <c r="Q60" s="30">
        <f>SUMIF('Years of Service'!$B$23:$B$53,"&lt;="&amp;B60,'Years of Service'!$C$23:$C$53)+SUMIF('Years of Service'!$E$23:$E$47,"&lt;="&amp;B60,'Years of Service'!$F$23:$F$47)</f>
        <v>0</v>
      </c>
      <c r="T60"/>
      <c r="U60" s="28"/>
    </row>
    <row r="61" spans="2:21" ht="15.75">
      <c r="B61" s="57">
        <f t="shared" si="0"/>
        <v>2006</v>
      </c>
      <c r="D61" s="61">
        <f>'Data Entry'!B58</f>
        <v>0</v>
      </c>
      <c r="E61" s="57" t="s">
        <v>70</v>
      </c>
      <c r="F61" s="62">
        <v>15000</v>
      </c>
      <c r="G61" s="57" t="s">
        <v>71</v>
      </c>
      <c r="H61" s="61">
        <f t="shared" si="1"/>
        <v>0</v>
      </c>
      <c r="J61" s="63">
        <f t="shared" si="2"/>
        <v>0</v>
      </c>
      <c r="K61" s="63">
        <f>IF(O61&gt;=50,1,0)*MIN(H61-J61,5000)</f>
        <v>0</v>
      </c>
      <c r="L61" s="64">
        <f t="shared" si="3"/>
        <v>0</v>
      </c>
      <c r="M61" s="65"/>
      <c r="O61" s="96">
        <f t="shared" si="4"/>
        <v>2006</v>
      </c>
      <c r="P61" s="98">
        <f>P62-VLOOKUP(B61+1,'Years of Service'!$B$23:$C$53,2,FALSE)</f>
        <v>0</v>
      </c>
      <c r="Q61" s="30">
        <f>SUMIF('Years of Service'!$B$23:$B$53,"&lt;="&amp;B61,'Years of Service'!$C$23:$C$53)+SUMIF('Years of Service'!$E$23:$E$47,"&lt;="&amp;B61,'Years of Service'!$F$23:$F$47)</f>
        <v>0</v>
      </c>
      <c r="T61"/>
      <c r="U61" s="28"/>
    </row>
    <row r="62" spans="2:21" ht="15.75">
      <c r="B62" s="57">
        <f t="shared" si="0"/>
        <v>2007</v>
      </c>
      <c r="D62" s="61">
        <f>'Data Entry'!B59</f>
        <v>0</v>
      </c>
      <c r="E62" s="57" t="s">
        <v>70</v>
      </c>
      <c r="F62" s="62">
        <v>15500</v>
      </c>
      <c r="G62" s="57" t="s">
        <v>71</v>
      </c>
      <c r="H62" s="61">
        <f t="shared" si="1"/>
        <v>0</v>
      </c>
      <c r="J62" s="63">
        <f t="shared" si="2"/>
        <v>0</v>
      </c>
      <c r="K62" s="63">
        <f>IF(O62&gt;=50,1,0)*MIN(H62-J62,5000)</f>
        <v>0</v>
      </c>
      <c r="L62" s="64">
        <f t="shared" si="3"/>
        <v>0</v>
      </c>
      <c r="M62" s="65"/>
      <c r="O62" s="96">
        <f t="shared" si="4"/>
        <v>2007</v>
      </c>
      <c r="P62" s="98">
        <f>P63-VLOOKUP(B62+1,'Years of Service'!$B$23:$C$53,2,FALSE)</f>
        <v>0</v>
      </c>
      <c r="Q62" s="30">
        <f>SUMIF('Years of Service'!$B$23:$B$53,"&lt;="&amp;B62,'Years of Service'!$C$23:$C$53)+SUMIF('Years of Service'!$E$23:$E$47,"&lt;="&amp;B62,'Years of Service'!$F$23:$F$47)</f>
        <v>0</v>
      </c>
      <c r="T62"/>
      <c r="U62" s="28"/>
    </row>
    <row r="63" spans="2:21" ht="15.75">
      <c r="B63" s="57">
        <f t="shared" si="0"/>
        <v>2008</v>
      </c>
      <c r="D63" s="61">
        <f>'Data Entry'!B60</f>
        <v>0</v>
      </c>
      <c r="E63" s="57" t="s">
        <v>70</v>
      </c>
      <c r="F63" s="62">
        <v>15500</v>
      </c>
      <c r="G63" s="57" t="s">
        <v>71</v>
      </c>
      <c r="H63" s="61">
        <f t="shared" si="1"/>
        <v>0</v>
      </c>
      <c r="J63" s="63">
        <f t="shared" si="2"/>
        <v>0</v>
      </c>
      <c r="K63" s="63">
        <f>IF(O63&gt;=50,1,0)*MIN(H63-J63,5000)</f>
        <v>0</v>
      </c>
      <c r="L63" s="64">
        <f t="shared" si="3"/>
        <v>0</v>
      </c>
      <c r="M63" s="65"/>
      <c r="O63" s="96">
        <f t="shared" si="4"/>
        <v>2008</v>
      </c>
      <c r="P63" s="98">
        <f>P64-VLOOKUP(B63+1,'Years of Service'!$B$23:$C$53,2,FALSE)</f>
        <v>0</v>
      </c>
      <c r="Q63" s="30">
        <f>SUMIF('Years of Service'!$B$23:$B$53,"&lt;="&amp;B63,'Years of Service'!$C$23:$C$53)+SUMIF('Years of Service'!$E$23:$E$47,"&lt;="&amp;B63,'Years of Service'!$F$23:$F$47)</f>
        <v>0</v>
      </c>
      <c r="T63"/>
      <c r="U63" s="28"/>
    </row>
    <row r="64" spans="2:21" ht="15.75">
      <c r="B64" s="57">
        <f t="shared" si="0"/>
        <v>2009</v>
      </c>
      <c r="D64" s="61">
        <f>'Data Entry'!B61</f>
        <v>0</v>
      </c>
      <c r="E64" s="57" t="s">
        <v>70</v>
      </c>
      <c r="F64" s="62">
        <v>16500</v>
      </c>
      <c r="G64" s="57" t="s">
        <v>71</v>
      </c>
      <c r="H64" s="61">
        <f t="shared" si="1"/>
        <v>0</v>
      </c>
      <c r="J64" s="63">
        <f t="shared" si="2"/>
        <v>0</v>
      </c>
      <c r="K64" s="63">
        <f aca="true" t="shared" si="7" ref="K64:K71">IF(O64&gt;=50,1,0)*MIN(H64-J64,5500)</f>
        <v>0</v>
      </c>
      <c r="L64" s="64">
        <f t="shared" si="3"/>
        <v>0</v>
      </c>
      <c r="M64" s="65"/>
      <c r="O64" s="96">
        <f t="shared" si="4"/>
        <v>2009</v>
      </c>
      <c r="P64" s="98">
        <f>P65-VLOOKUP(B64+1,'Years of Service'!$B$23:$C$53,2,FALSE)</f>
        <v>0</v>
      </c>
      <c r="Q64" s="30">
        <f>SUMIF('Years of Service'!$B$23:$B$53,"&lt;="&amp;B64,'Years of Service'!$C$23:$C$53)+SUMIF('Years of Service'!$E$23:$E$47,"&lt;="&amp;B64,'Years of Service'!$F$23:$F$47)</f>
        <v>0</v>
      </c>
      <c r="T64"/>
      <c r="U64" s="28"/>
    </row>
    <row r="65" spans="2:21" ht="15.75">
      <c r="B65" s="57">
        <f t="shared" si="0"/>
        <v>2010</v>
      </c>
      <c r="D65" s="61">
        <f>'Data Entry'!B62</f>
        <v>0</v>
      </c>
      <c r="E65" s="57" t="s">
        <v>70</v>
      </c>
      <c r="F65" s="62">
        <v>16500</v>
      </c>
      <c r="G65" s="57" t="s">
        <v>71</v>
      </c>
      <c r="H65" s="61">
        <f t="shared" si="1"/>
        <v>0</v>
      </c>
      <c r="J65" s="63">
        <f t="shared" si="2"/>
        <v>0</v>
      </c>
      <c r="K65" s="63">
        <f t="shared" si="7"/>
        <v>0</v>
      </c>
      <c r="L65" s="64">
        <f t="shared" si="3"/>
        <v>0</v>
      </c>
      <c r="M65" s="65"/>
      <c r="O65" s="96">
        <f t="shared" si="4"/>
        <v>2010</v>
      </c>
      <c r="P65" s="98">
        <f>P66-VLOOKUP(B65+1,'Years of Service'!$B$23:$C$53,2,FALSE)</f>
        <v>0</v>
      </c>
      <c r="Q65" s="30">
        <f>SUMIF('Years of Service'!$B$23:$B$53,"&lt;="&amp;B65,'Years of Service'!$C$23:$C$53)+SUMIF('Years of Service'!$E$23:$E$47,"&lt;="&amp;B65,'Years of Service'!$F$23:$F$47)</f>
        <v>0</v>
      </c>
      <c r="T65"/>
      <c r="U65" s="28"/>
    </row>
    <row r="66" spans="2:21" ht="15.75">
      <c r="B66" s="57">
        <f t="shared" si="0"/>
        <v>2011</v>
      </c>
      <c r="D66" s="61">
        <f>'Data Entry'!B63</f>
        <v>0</v>
      </c>
      <c r="E66" s="57" t="s">
        <v>70</v>
      </c>
      <c r="F66" s="62">
        <v>16500</v>
      </c>
      <c r="G66" s="57" t="s">
        <v>71</v>
      </c>
      <c r="H66" s="61">
        <f aca="true" t="shared" si="8" ref="H66:H72">MAX(0,D66-F66)</f>
        <v>0</v>
      </c>
      <c r="J66" s="63">
        <f t="shared" si="2"/>
        <v>0</v>
      </c>
      <c r="K66" s="63">
        <f t="shared" si="7"/>
        <v>0</v>
      </c>
      <c r="L66" s="64">
        <f t="shared" si="3"/>
        <v>0</v>
      </c>
      <c r="M66" s="65"/>
      <c r="O66" s="96">
        <f t="shared" si="4"/>
        <v>2011</v>
      </c>
      <c r="P66" s="98">
        <f>P67-VLOOKUP(B66+1,'Years of Service'!$B$23:$C$53,2,FALSE)</f>
        <v>0</v>
      </c>
      <c r="Q66" s="30">
        <f>SUMIF('Years of Service'!$B$23:$B$53,"&lt;="&amp;B66,'Years of Service'!$C$23:$C$53)+SUMIF('Years of Service'!$E$23:$E$47,"&lt;="&amp;B66,'Years of Service'!$F$23:$F$47)</f>
        <v>0</v>
      </c>
      <c r="T66"/>
      <c r="U66" s="28"/>
    </row>
    <row r="67" spans="2:21" ht="15.75">
      <c r="B67" s="57">
        <f t="shared" si="0"/>
        <v>2012</v>
      </c>
      <c r="D67" s="61">
        <f>'Data Entry'!B64</f>
        <v>0</v>
      </c>
      <c r="E67" s="57" t="s">
        <v>70</v>
      </c>
      <c r="F67" s="62">
        <v>17000</v>
      </c>
      <c r="G67" s="57" t="s">
        <v>71</v>
      </c>
      <c r="H67" s="61">
        <f t="shared" si="8"/>
        <v>0</v>
      </c>
      <c r="J67" s="63">
        <f t="shared" si="2"/>
        <v>0</v>
      </c>
      <c r="K67" s="63">
        <f t="shared" si="7"/>
        <v>0</v>
      </c>
      <c r="L67" s="64">
        <f t="shared" si="3"/>
        <v>0</v>
      </c>
      <c r="M67" s="65"/>
      <c r="O67" s="96">
        <f aca="true" t="shared" si="9" ref="O67:O74">B67-DOB</f>
        <v>2012</v>
      </c>
      <c r="P67" s="98">
        <f>P68-VLOOKUP(B67+1,'Years of Service'!$B$23:$C$53,2,FALSE)</f>
        <v>0</v>
      </c>
      <c r="Q67" s="30">
        <f>SUMIF('Years of Service'!$B$23:$B$53,"&lt;="&amp;B67,'Years of Service'!$C$23:$C$53)+SUMIF('Years of Service'!$E$23:$E$47,"&lt;="&amp;B67,'Years of Service'!$F$23:$F$47)</f>
        <v>0</v>
      </c>
      <c r="T67"/>
      <c r="U67" s="28"/>
    </row>
    <row r="68" spans="2:21" ht="15.75">
      <c r="B68" s="57">
        <f t="shared" si="0"/>
        <v>2013</v>
      </c>
      <c r="D68" s="61">
        <f>'Data Entry'!B65</f>
        <v>0</v>
      </c>
      <c r="E68" s="57" t="s">
        <v>70</v>
      </c>
      <c r="F68" s="62">
        <v>17000</v>
      </c>
      <c r="G68" s="57" t="s">
        <v>71</v>
      </c>
      <c r="H68" s="61">
        <f t="shared" si="8"/>
        <v>0</v>
      </c>
      <c r="J68" s="63">
        <f t="shared" si="2"/>
        <v>0</v>
      </c>
      <c r="K68" s="63">
        <f t="shared" si="7"/>
        <v>0</v>
      </c>
      <c r="L68" s="64">
        <f t="shared" si="3"/>
        <v>0</v>
      </c>
      <c r="M68" s="65"/>
      <c r="O68" s="96">
        <f t="shared" si="9"/>
        <v>2013</v>
      </c>
      <c r="P68" s="98">
        <f>P69-VLOOKUP(B68+1,'Years of Service'!$B$23:$C$53,2,FALSE)</f>
        <v>0</v>
      </c>
      <c r="Q68" s="30">
        <f>SUMIF('Years of Service'!$B$23:$B$53,"&lt;="&amp;B68,'Years of Service'!$C$23:$C$53)+SUMIF('Years of Service'!$E$23:$E$47,"&lt;="&amp;B68,'Years of Service'!$F$23:$F$47)</f>
        <v>0</v>
      </c>
      <c r="T68"/>
      <c r="U68" s="28"/>
    </row>
    <row r="69" spans="2:21" ht="15.75">
      <c r="B69" s="57">
        <f t="shared" si="0"/>
        <v>2014</v>
      </c>
      <c r="D69" s="61">
        <f>'Data Entry'!B66</f>
        <v>0</v>
      </c>
      <c r="E69" s="57" t="s">
        <v>70</v>
      </c>
      <c r="F69" s="62">
        <v>17500</v>
      </c>
      <c r="G69" s="57" t="s">
        <v>71</v>
      </c>
      <c r="H69" s="61">
        <f t="shared" si="8"/>
        <v>0</v>
      </c>
      <c r="J69" s="63">
        <f t="shared" si="2"/>
        <v>0</v>
      </c>
      <c r="K69" s="63">
        <f t="shared" si="7"/>
        <v>0</v>
      </c>
      <c r="L69" s="64">
        <f t="shared" si="3"/>
        <v>0</v>
      </c>
      <c r="M69" s="65"/>
      <c r="O69" s="96">
        <f t="shared" si="9"/>
        <v>2014</v>
      </c>
      <c r="P69" s="98">
        <f>P70-VLOOKUP(B69+1,'Years of Service'!$B$23:$C$53,2,FALSE)</f>
        <v>0</v>
      </c>
      <c r="Q69" s="30">
        <f>SUMIF('Years of Service'!$B$23:$B$53,"&lt;="&amp;B69,'Years of Service'!$C$23:$C$53)+SUMIF('Years of Service'!$E$23:$E$47,"&lt;="&amp;B69,'Years of Service'!$F$23:$F$47)</f>
        <v>0</v>
      </c>
      <c r="T69"/>
      <c r="U69" s="28"/>
    </row>
    <row r="70" spans="2:17" ht="15.75">
      <c r="B70" s="57">
        <f t="shared" si="0"/>
        <v>2015</v>
      </c>
      <c r="D70" s="61">
        <f>'Data Entry'!B67</f>
        <v>0</v>
      </c>
      <c r="E70" s="57" t="s">
        <v>70</v>
      </c>
      <c r="F70" s="62">
        <v>17500</v>
      </c>
      <c r="G70" s="57" t="s">
        <v>71</v>
      </c>
      <c r="H70" s="61">
        <f t="shared" si="8"/>
        <v>0</v>
      </c>
      <c r="J70" s="63">
        <f>IF(P70&gt;=15,1,0)*MIN(H70,3000)</f>
        <v>0</v>
      </c>
      <c r="K70" s="63">
        <f t="shared" si="7"/>
        <v>0</v>
      </c>
      <c r="L70" s="64">
        <f t="shared" si="3"/>
        <v>0</v>
      </c>
      <c r="M70" s="65"/>
      <c r="O70" s="96">
        <f t="shared" si="9"/>
        <v>2015</v>
      </c>
      <c r="P70" s="98">
        <f>P71-VLOOKUP(B70+1,'Years of Service'!$B$23:$C$53,2,FALSE)</f>
        <v>0</v>
      </c>
      <c r="Q70" s="30">
        <f>SUMIF('Years of Service'!$B$23:$B$53,"&lt;="&amp;B70,'Years of Service'!$C$23:$C$53)+SUMIF('Years of Service'!$E$23:$E$47,"&lt;="&amp;B70,'Years of Service'!$F$23:$F$47)</f>
        <v>0</v>
      </c>
    </row>
    <row r="71" spans="2:17" ht="15.75">
      <c r="B71" s="57">
        <f t="shared" si="0"/>
        <v>2016</v>
      </c>
      <c r="D71" s="61">
        <f>'Data Entry'!B68</f>
        <v>0</v>
      </c>
      <c r="E71" s="57" t="s">
        <v>70</v>
      </c>
      <c r="F71" s="62">
        <v>17500</v>
      </c>
      <c r="G71" s="57" t="s">
        <v>71</v>
      </c>
      <c r="H71" s="61">
        <f t="shared" si="8"/>
        <v>0</v>
      </c>
      <c r="J71" s="63">
        <f t="shared" si="2"/>
        <v>0</v>
      </c>
      <c r="K71" s="63">
        <f t="shared" si="7"/>
        <v>0</v>
      </c>
      <c r="L71" s="64">
        <f t="shared" si="3"/>
        <v>0</v>
      </c>
      <c r="M71" s="65"/>
      <c r="O71" s="96">
        <f t="shared" si="9"/>
        <v>2016</v>
      </c>
      <c r="P71" s="98">
        <f>P72-VLOOKUP(B71+1,'Years of Service'!$B$23:$C$53,2,FALSE)</f>
        <v>0</v>
      </c>
      <c r="Q71" s="30">
        <f>SUMIF('Years of Service'!$B$23:$B$53,"&lt;="&amp;B71,'Years of Service'!$C$23:$C$53)+SUMIF('Years of Service'!$E$23:$E$47,"&lt;="&amp;B71,'Years of Service'!$F$23:$F$47)</f>
        <v>0</v>
      </c>
    </row>
    <row r="72" spans="2:17" ht="15.75">
      <c r="B72" s="57">
        <f t="shared" si="0"/>
        <v>2017</v>
      </c>
      <c r="D72" s="61">
        <f>'Data Entry'!B69</f>
        <v>0</v>
      </c>
      <c r="E72" s="57" t="s">
        <v>70</v>
      </c>
      <c r="F72" s="62">
        <v>18000</v>
      </c>
      <c r="G72" s="57" t="s">
        <v>71</v>
      </c>
      <c r="H72" s="61">
        <f t="shared" si="8"/>
        <v>0</v>
      </c>
      <c r="J72" s="63">
        <f t="shared" si="2"/>
        <v>0</v>
      </c>
      <c r="K72" s="63">
        <f>IF(O72&gt;=50,1,0)*MIN(H72-J72,6000)</f>
        <v>0</v>
      </c>
      <c r="L72" s="64">
        <f t="shared" si="3"/>
        <v>0</v>
      </c>
      <c r="M72" s="65"/>
      <c r="O72" s="96">
        <f t="shared" si="9"/>
        <v>2017</v>
      </c>
      <c r="P72" s="98">
        <f>P73-VLOOKUP(B72+1,'Years of Service'!$B$23:$C$53,2,FALSE)</f>
        <v>0</v>
      </c>
      <c r="Q72" s="30">
        <f>SUMIF('Years of Service'!$B$23:$B$53,"&lt;="&amp;B72,'Years of Service'!$C$23:$C$53)+SUMIF('Years of Service'!$E$23:$E$47,"&lt;="&amp;B72,'Years of Service'!$F$23:$F$47)</f>
        <v>0</v>
      </c>
    </row>
    <row r="73" spans="2:17" ht="15.75">
      <c r="B73" s="57">
        <f t="shared" si="0"/>
        <v>2018</v>
      </c>
      <c r="D73" s="61">
        <f>'Data Entry'!B70</f>
        <v>0</v>
      </c>
      <c r="E73" s="57" t="s">
        <v>70</v>
      </c>
      <c r="F73" s="62">
        <v>18500</v>
      </c>
      <c r="G73" s="57" t="s">
        <v>71</v>
      </c>
      <c r="H73" s="61">
        <f>MAX(0,D73-F73)</f>
        <v>0</v>
      </c>
      <c r="J73" s="63">
        <f>IF(P73&gt;=15,1,0)*MIN(H73,3000)</f>
        <v>0</v>
      </c>
      <c r="K73" s="63">
        <f>IF(O73&gt;=50,1,0)*MIN(H73-J73,6000)</f>
        <v>0</v>
      </c>
      <c r="L73" s="64">
        <f t="shared" si="3"/>
        <v>0</v>
      </c>
      <c r="M73" s="65"/>
      <c r="O73" s="96">
        <f t="shared" si="9"/>
        <v>2018</v>
      </c>
      <c r="P73" s="98">
        <f>P74-VLOOKUP(B73+1,'Years of Service'!$B$23:$C$53,2,FALSE)</f>
        <v>0</v>
      </c>
      <c r="Q73" s="30">
        <f>SUMIF('Years of Service'!$B$23:$B$53,"&lt;="&amp;B73,'Years of Service'!$C$23:$C$53)+SUMIF('Years of Service'!$E$23:$E$47,"&lt;="&amp;B73,'Years of Service'!$F$23:$F$47)</f>
        <v>0</v>
      </c>
    </row>
    <row r="74" spans="2:17" ht="15.75">
      <c r="B74" s="57">
        <f t="shared" si="0"/>
        <v>2019</v>
      </c>
      <c r="D74" s="61">
        <f>'Data Entry'!B71</f>
        <v>0</v>
      </c>
      <c r="E74" s="57" t="s">
        <v>70</v>
      </c>
      <c r="F74" s="62">
        <v>19000</v>
      </c>
      <c r="G74" s="57" t="s">
        <v>71</v>
      </c>
      <c r="H74" s="61">
        <f>MAX(0,D74-F74)</f>
        <v>0</v>
      </c>
      <c r="J74" s="63">
        <f t="shared" si="2"/>
        <v>0</v>
      </c>
      <c r="K74" s="63">
        <f>IF(O74&gt;=50,1,0)*MIN(H74-J74,6000)</f>
        <v>0</v>
      </c>
      <c r="L74" s="64">
        <f t="shared" si="3"/>
        <v>0</v>
      </c>
      <c r="M74" s="65"/>
      <c r="O74" s="96">
        <f t="shared" si="9"/>
        <v>2019</v>
      </c>
      <c r="P74" s="98">
        <f>Service-'Years of Service'!C24</f>
        <v>0</v>
      </c>
      <c r="Q74" s="30">
        <f>SUMIF('Years of Service'!$B$23:$B$53,"&lt;="&amp;B74,'Years of Service'!$C$23:$C$53)+SUMIF('Years of Service'!$E$23:$E$47,"&lt;="&amp;B74,'Years of Service'!$F$23:$F$47)</f>
        <v>0</v>
      </c>
    </row>
    <row r="75" spans="2:16" ht="15.75">
      <c r="B75" s="57"/>
      <c r="D75" s="61"/>
      <c r="E75" s="57"/>
      <c r="F75" s="62"/>
      <c r="G75" s="57"/>
      <c r="H75" s="61"/>
      <c r="J75" s="63"/>
      <c r="K75" s="63"/>
      <c r="L75" s="64"/>
      <c r="M75" s="65"/>
      <c r="P75" s="98"/>
    </row>
    <row r="76" spans="2:16" ht="18" customHeight="1">
      <c r="B76" s="57"/>
      <c r="D76" s="57"/>
      <c r="P76" s="96">
        <f>Service</f>
        <v>0</v>
      </c>
    </row>
    <row r="77" spans="2:10" ht="15.75">
      <c r="B77" s="57"/>
      <c r="D77" s="57"/>
      <c r="G77" s="66"/>
      <c r="I77" s="67" t="s">
        <v>72</v>
      </c>
      <c r="J77" s="68">
        <f>SUM(J42:J75)</f>
        <v>0</v>
      </c>
    </row>
    <row r="78" spans="2:4" ht="5.25" customHeight="1">
      <c r="B78" s="57"/>
      <c r="D78" s="57"/>
    </row>
    <row r="79" spans="2:4" ht="9" customHeight="1">
      <c r="B79" s="57"/>
      <c r="D79" s="57"/>
    </row>
    <row r="80" ht="12" customHeight="1" hidden="1">
      <c r="M80" s="31"/>
    </row>
    <row r="81" spans="2:13" ht="9" customHeight="1">
      <c r="B81" s="57"/>
      <c r="D81" s="57"/>
      <c r="M81" s="31"/>
    </row>
    <row r="82" spans="2:13" ht="16.5" customHeight="1" thickBot="1">
      <c r="B82" s="57"/>
      <c r="D82" s="57"/>
      <c r="H82" s="70" t="s">
        <v>74</v>
      </c>
      <c r="J82" s="71"/>
      <c r="L82" s="72">
        <f>J77</f>
        <v>0</v>
      </c>
      <c r="M82" s="73" t="s">
        <v>75</v>
      </c>
    </row>
    <row r="83" spans="2:4" ht="33" customHeight="1">
      <c r="B83" s="57"/>
      <c r="D83" s="57"/>
    </row>
    <row r="84" spans="1:4" ht="15.75">
      <c r="A84" s="69" t="s">
        <v>73</v>
      </c>
      <c r="B84" s="31" t="s">
        <v>118</v>
      </c>
      <c r="D84" s="57"/>
    </row>
    <row r="85" spans="2:4" ht="15.75">
      <c r="B85" s="31" t="str">
        <f>"total from "&amp;DOLLAR(15000+Limit402g,0)&amp;":"</f>
        <v>total from $34,000:</v>
      </c>
      <c r="D85" s="57"/>
    </row>
    <row r="86" spans="2:4" ht="21" customHeight="1">
      <c r="B86" s="57"/>
      <c r="D86" s="57"/>
    </row>
    <row r="87" spans="1:13" ht="15.75">
      <c r="A87" s="49" t="s">
        <v>76</v>
      </c>
      <c r="B87" s="31" t="str">
        <f>DOLLAR(15000+Limit402g,0)&amp;" minus total above:"</f>
        <v>$34,000 minus total above:</v>
      </c>
      <c r="D87" s="57"/>
      <c r="L87" s="74">
        <f>MAX(Limit402g,IF(L29&lt;15,Limit402g,MAX(0,15000+Limit402g-L82)))</f>
        <v>19000</v>
      </c>
      <c r="M87" s="33" t="s">
        <v>77</v>
      </c>
    </row>
    <row r="88" spans="3:5" ht="6.75" customHeight="1">
      <c r="C88" s="57"/>
      <c r="E88" s="57"/>
    </row>
    <row r="89" spans="1:5" ht="15.75">
      <c r="A89" s="33" t="s">
        <v>78</v>
      </c>
      <c r="C89" s="57"/>
      <c r="E89" s="57"/>
    </row>
    <row r="90" spans="1:5" ht="15.75">
      <c r="A90" s="33" t="s">
        <v>79</v>
      </c>
      <c r="C90" s="57"/>
      <c r="E90" s="57"/>
    </row>
    <row r="91" spans="3:5" ht="32.25" customHeight="1">
      <c r="C91" s="57"/>
      <c r="E91" s="57"/>
    </row>
    <row r="92" spans="1:8" ht="15.75">
      <c r="A92" s="49" t="s">
        <v>80</v>
      </c>
      <c r="B92" s="57" t="s">
        <v>81</v>
      </c>
      <c r="C92" s="31" t="s">
        <v>82</v>
      </c>
      <c r="D92" s="57"/>
      <c r="H92" s="39">
        <f>Service</f>
        <v>0</v>
      </c>
    </row>
    <row r="93" spans="2:8" ht="15.75">
      <c r="B93" s="57" t="s">
        <v>83</v>
      </c>
      <c r="C93" s="31" t="s">
        <v>84</v>
      </c>
      <c r="D93" s="57"/>
      <c r="G93" s="75" t="s">
        <v>85</v>
      </c>
      <c r="H93" s="76">
        <v>5000</v>
      </c>
    </row>
    <row r="94" spans="2:8" ht="3" customHeight="1">
      <c r="B94" s="57"/>
      <c r="D94" s="57"/>
      <c r="H94" s="76"/>
    </row>
    <row r="95" spans="2:8" ht="15.75">
      <c r="B95" s="57"/>
      <c r="D95" s="57"/>
      <c r="G95" s="75" t="s">
        <v>86</v>
      </c>
      <c r="H95" s="77">
        <f>H92*H93</f>
        <v>0</v>
      </c>
    </row>
    <row r="96" spans="2:4" ht="15.75">
      <c r="B96" s="57"/>
      <c r="D96" s="57"/>
    </row>
    <row r="97" spans="2:4" ht="15.75">
      <c r="B97" s="57" t="s">
        <v>87</v>
      </c>
      <c r="C97" s="33" t="s">
        <v>88</v>
      </c>
      <c r="D97" s="57"/>
    </row>
    <row r="98" spans="2:3" ht="15.75">
      <c r="B98" s="57"/>
      <c r="C98" s="31" t="s">
        <v>89</v>
      </c>
    </row>
    <row r="99" spans="3:8" ht="15.75">
      <c r="C99" s="31" t="s">
        <v>90</v>
      </c>
      <c r="H99" s="56">
        <f>TotalDefs+SUM('Data Entry'!$B$39:B70)-SUM($K$57:K73)</f>
        <v>0</v>
      </c>
    </row>
    <row r="100" spans="3:5" ht="3" customHeight="1">
      <c r="C100" s="57"/>
      <c r="E100" s="57"/>
    </row>
    <row r="101" spans="3:8" ht="15.75">
      <c r="C101" s="57"/>
      <c r="E101" s="57"/>
      <c r="G101" s="75" t="s">
        <v>91</v>
      </c>
      <c r="H101" s="71">
        <f>MAX(0,H95-H99)</f>
        <v>0</v>
      </c>
    </row>
    <row r="102" spans="3:5" ht="15.75">
      <c r="C102" s="57"/>
      <c r="E102" s="30"/>
    </row>
    <row r="103" spans="2:13" ht="15.75">
      <c r="B103" s="57" t="s">
        <v>92</v>
      </c>
      <c r="C103" s="31" t="str">
        <f>"If Step 6(c) is greater than zero, add "&amp;DOLLAR(Limit402g,0)</f>
        <v>If Step 6(c) is greater than zero, add $19,000</v>
      </c>
      <c r="E103" s="57"/>
      <c r="H103" s="60"/>
      <c r="I103" s="75"/>
      <c r="J103" s="57"/>
      <c r="L103" s="74">
        <f>IF(L29&lt;15,Limit402g,H101+Limit402g)</f>
        <v>19000</v>
      </c>
      <c r="M103" s="33" t="s">
        <v>93</v>
      </c>
    </row>
    <row r="104" spans="3:5" ht="3" customHeight="1">
      <c r="C104" s="57"/>
      <c r="E104" s="57"/>
    </row>
    <row r="105" spans="3:5" ht="15.75">
      <c r="C105" s="57"/>
      <c r="E105" s="57"/>
    </row>
    <row r="106" spans="1:13" ht="15.75">
      <c r="A106" s="49" t="s">
        <v>94</v>
      </c>
      <c r="B106" s="31" t="str">
        <f>"Enter "&amp;DOLLAR(IF(L29&lt;15,0,3000)+Limit402g,0)</f>
        <v>Enter $19,000</v>
      </c>
      <c r="E106" s="57"/>
      <c r="L106" s="56">
        <f>IF(L29&lt;15,0,3000)+Limit402g</f>
        <v>19000</v>
      </c>
      <c r="M106" s="33" t="s">
        <v>95</v>
      </c>
    </row>
    <row r="107" spans="2:5" ht="15.75">
      <c r="B107" s="57"/>
      <c r="E107" s="57"/>
    </row>
    <row r="108" spans="1:13" ht="15.75">
      <c r="A108" s="49" t="s">
        <v>96</v>
      </c>
      <c r="B108" s="31" t="s">
        <v>119</v>
      </c>
      <c r="E108" s="57"/>
      <c r="L108" s="56">
        <f>MIN(L34,L87,L103,L106)</f>
        <v>19000</v>
      </c>
      <c r="M108" s="33" t="s">
        <v>97</v>
      </c>
    </row>
    <row r="109" spans="2:5" ht="15.75">
      <c r="B109" s="31" t="s">
        <v>120</v>
      </c>
      <c r="E109" s="57"/>
    </row>
    <row r="110" spans="2:5" ht="15.75">
      <c r="B110" s="57"/>
      <c r="E110" s="57"/>
    </row>
    <row r="111" spans="1:13" ht="15.75">
      <c r="A111" s="49" t="s">
        <v>98</v>
      </c>
      <c r="B111" s="31" t="str">
        <f>"If you were born in "&amp;Yr-50&amp;" or earlier, add an additional "&amp;DOLLAR(CatchUp,0)&amp;" to the amount in Step 8. This is the maximum you are permitted to"</f>
        <v>If you were born in 1969 or earlier, add an additional $6,000 to the amount in Step 8. This is the maximum you are permitted to</v>
      </c>
      <c r="E111" s="57"/>
      <c r="L111" s="56">
        <f>MIN(L34,IF(AND(DOB&gt;1901,DOB&lt;=Yr-50),CatchUp,0)+L108)</f>
        <v>19000</v>
      </c>
      <c r="M111" s="33" t="s">
        <v>99</v>
      </c>
    </row>
    <row r="112" spans="2:5" ht="15.75">
      <c r="B112" s="31" t="str">
        <f>"contribute for tax year "&amp;Yr&amp;". (Limited to Step 2)"</f>
        <v>contribute for tax year 2019. (Limited to Step 2)</v>
      </c>
      <c r="E112" s="57"/>
    </row>
    <row r="113" ht="15.75">
      <c r="E113" s="57"/>
    </row>
    <row r="114" spans="5:9" ht="13.5" customHeight="1">
      <c r="E114" s="57"/>
      <c r="I114" s="78" t="s">
        <v>100</v>
      </c>
    </row>
    <row r="115" ht="3.75" customHeight="1">
      <c r="E115" s="57"/>
    </row>
    <row r="116" spans="11:12" ht="15.75">
      <c r="K116" s="75" t="s">
        <v>101</v>
      </c>
      <c r="L116" s="55">
        <f>MIN(L34,Limit402g)</f>
        <v>19000</v>
      </c>
    </row>
    <row r="117" spans="5:12" ht="18.75" customHeight="1">
      <c r="E117" s="57"/>
      <c r="K117" s="75" t="s">
        <v>102</v>
      </c>
      <c r="L117" s="71">
        <f>L108-L116</f>
        <v>0</v>
      </c>
    </row>
    <row r="118" spans="5:12" ht="20.25" customHeight="1">
      <c r="E118" s="57"/>
      <c r="K118" s="75" t="s">
        <v>103</v>
      </c>
      <c r="L118" s="79">
        <f>L111-L116-L117</f>
        <v>0</v>
      </c>
    </row>
    <row r="119" spans="5:12" ht="23.25" customHeight="1">
      <c r="E119" s="57"/>
      <c r="K119" s="67" t="s">
        <v>104</v>
      </c>
      <c r="L119" s="80">
        <f>SUM(L116:L118)</f>
        <v>19000</v>
      </c>
    </row>
    <row r="120" spans="5:12" ht="15.75">
      <c r="E120" s="57"/>
      <c r="L120" s="81">
        <f>IF(L119=L111,"","ERROR!!!!!!!!!!!!")</f>
      </c>
    </row>
    <row r="121" spans="1:13" ht="43.5" customHeight="1">
      <c r="A121" s="113" t="s">
        <v>105</v>
      </c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</row>
    <row r="122" spans="1:11" ht="9" customHeight="1">
      <c r="A122" s="82"/>
      <c r="B122" s="50"/>
      <c r="C122" s="50"/>
      <c r="D122" s="50"/>
      <c r="E122" s="50"/>
      <c r="F122" s="50"/>
      <c r="G122" s="50"/>
      <c r="H122" s="50"/>
      <c r="I122" s="50"/>
      <c r="J122" s="50"/>
      <c r="K122" s="50"/>
    </row>
    <row r="123" spans="3:18" s="83" customFormat="1" ht="15.75">
      <c r="C123" s="84"/>
      <c r="E123" s="84"/>
      <c r="M123" s="85"/>
      <c r="N123" s="86"/>
      <c r="O123" s="99"/>
      <c r="P123" s="99"/>
      <c r="Q123" s="86"/>
      <c r="R123" s="86"/>
    </row>
    <row r="124" spans="1:12" ht="15.75">
      <c r="A124" s="87" t="s">
        <v>106</v>
      </c>
      <c r="B124" s="87"/>
      <c r="C124" s="87"/>
      <c r="D124" s="87"/>
      <c r="E124" s="87"/>
      <c r="F124" s="87"/>
      <c r="G124" s="87"/>
      <c r="I124" s="87" t="s">
        <v>107</v>
      </c>
      <c r="J124" s="87"/>
      <c r="K124" s="87"/>
      <c r="L124" s="87"/>
    </row>
    <row r="127" spans="1:12" ht="15.75">
      <c r="A127" s="87" t="s">
        <v>108</v>
      </c>
      <c r="B127" s="87"/>
      <c r="C127" s="87"/>
      <c r="D127" s="87"/>
      <c r="E127" s="87"/>
      <c r="F127" s="87"/>
      <c r="G127" s="87"/>
      <c r="I127" s="87" t="s">
        <v>107</v>
      </c>
      <c r="J127" s="87"/>
      <c r="K127" s="87"/>
      <c r="L127" s="87"/>
    </row>
    <row r="130" spans="2:3" ht="15.75">
      <c r="B130" s="88"/>
      <c r="C130" s="88"/>
    </row>
    <row r="132" spans="2:3" ht="15.75">
      <c r="B132" s="88"/>
      <c r="C132" s="88"/>
    </row>
    <row r="133" ht="15.75">
      <c r="C133" s="88"/>
    </row>
    <row r="136" ht="15.75">
      <c r="B136" s="33"/>
    </row>
  </sheetData>
  <sheetProtection password="9181" sheet="1" selectLockedCells="1"/>
  <mergeCells count="12">
    <mergeCell ref="A15:M15"/>
    <mergeCell ref="A16:M16"/>
    <mergeCell ref="A3:M3"/>
    <mergeCell ref="A4:M4"/>
    <mergeCell ref="A20:M20"/>
    <mergeCell ref="A121:M121"/>
    <mergeCell ref="A17:M17"/>
    <mergeCell ref="B29:E29"/>
    <mergeCell ref="A6:M6"/>
    <mergeCell ref="A7:M7"/>
    <mergeCell ref="A8:M8"/>
    <mergeCell ref="A14:M14"/>
  </mergeCells>
  <printOptions/>
  <pageMargins left="0.25" right="0.25" top="0.5" bottom="0.25" header="0.5118055555555555" footer="0.5118055555555555"/>
  <pageSetup fitToHeight="2" fitToWidth="1" horizontalDpi="600" verticalDpi="600" orientation="portrait" scale="65" r:id="rId2"/>
  <rowBreaks count="2" manualBreakCount="2">
    <brk id="85" max="255" man="1"/>
    <brk id="9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P32"/>
  <sheetViews>
    <sheetView view="pageLayout" workbookViewId="0" topLeftCell="A1">
      <selection activeCell="C14" sqref="C14:I14"/>
    </sheetView>
  </sheetViews>
  <sheetFormatPr defaultColWidth="9.140625" defaultRowHeight="12.75"/>
  <cols>
    <col min="3" max="3" width="15.28125" style="0" customWidth="1"/>
    <col min="4" max="4" width="9.140625" style="0" bestFit="1" customWidth="1"/>
  </cols>
  <sheetData>
    <row r="1" ht="12.75">
      <c r="B1" t="s">
        <v>30</v>
      </c>
    </row>
    <row r="2" spans="2:3" ht="12.75">
      <c r="B2" s="24" t="s">
        <v>31</v>
      </c>
      <c r="C2">
        <v>2018</v>
      </c>
    </row>
    <row r="3" spans="2:3" ht="12.75">
      <c r="B3" s="24" t="s">
        <v>32</v>
      </c>
      <c r="C3" s="25">
        <v>18500</v>
      </c>
    </row>
    <row r="4" spans="2:3" ht="12.75">
      <c r="B4" s="24" t="s">
        <v>33</v>
      </c>
      <c r="C4" s="25">
        <v>55000</v>
      </c>
    </row>
    <row r="5" spans="2:3" ht="12.75">
      <c r="B5" s="24" t="s">
        <v>34</v>
      </c>
      <c r="C5" s="25">
        <v>6000</v>
      </c>
    </row>
    <row r="8" ht="12.75">
      <c r="C8" t="s">
        <v>35</v>
      </c>
    </row>
    <row r="9" spans="2:3" ht="12.75">
      <c r="B9">
        <v>1</v>
      </c>
      <c r="C9" s="26" t="s">
        <v>36</v>
      </c>
    </row>
    <row r="10" spans="2:9" ht="27.75" customHeight="1">
      <c r="B10">
        <v>2</v>
      </c>
      <c r="C10" s="118" t="s">
        <v>37</v>
      </c>
      <c r="D10" s="118"/>
      <c r="E10" s="118"/>
      <c r="F10" s="118"/>
      <c r="G10" s="118"/>
      <c r="H10" s="118"/>
      <c r="I10" s="118"/>
    </row>
    <row r="11" spans="2:3" ht="12.75">
      <c r="B11">
        <v>3</v>
      </c>
      <c r="C11" s="26" t="s">
        <v>126</v>
      </c>
    </row>
    <row r="12" spans="2:3" ht="12.75">
      <c r="B12">
        <v>4</v>
      </c>
      <c r="C12" s="26" t="s">
        <v>39</v>
      </c>
    </row>
    <row r="13" spans="2:3" ht="12.75">
      <c r="B13">
        <v>5</v>
      </c>
      <c r="C13" t="s">
        <v>40</v>
      </c>
    </row>
    <row r="14" spans="2:16" ht="30.75" customHeight="1">
      <c r="B14">
        <v>6</v>
      </c>
      <c r="C14" s="118" t="s">
        <v>109</v>
      </c>
      <c r="D14" s="118"/>
      <c r="E14" s="118"/>
      <c r="F14" s="118"/>
      <c r="G14" s="118"/>
      <c r="H14" s="118"/>
      <c r="I14" s="118"/>
      <c r="J14" s="27"/>
      <c r="K14" s="27"/>
      <c r="L14" s="27"/>
      <c r="M14" s="27"/>
      <c r="N14" s="27"/>
      <c r="O14" s="27"/>
      <c r="P14" s="27"/>
    </row>
    <row r="15" spans="3:4" ht="12.75">
      <c r="C15" t="s">
        <v>14</v>
      </c>
      <c r="D15" t="s">
        <v>42</v>
      </c>
    </row>
    <row r="16" spans="3:4" ht="12.75">
      <c r="C16">
        <v>2002</v>
      </c>
      <c r="D16" s="28">
        <v>1000</v>
      </c>
    </row>
    <row r="17" spans="3:4" ht="12.75">
      <c r="C17">
        <v>2003</v>
      </c>
      <c r="D17" s="28">
        <v>2000</v>
      </c>
    </row>
    <row r="18" spans="3:4" ht="12.75">
      <c r="C18">
        <v>2004</v>
      </c>
      <c r="D18" s="28">
        <v>3000</v>
      </c>
    </row>
    <row r="19" spans="3:4" ht="12.75">
      <c r="C19">
        <v>2005</v>
      </c>
      <c r="D19" s="28">
        <v>4000</v>
      </c>
    </row>
    <row r="20" spans="3:4" ht="12.75">
      <c r="C20">
        <v>2006</v>
      </c>
      <c r="D20" s="28">
        <v>5000</v>
      </c>
    </row>
    <row r="21" spans="3:4" ht="12.75">
      <c r="C21">
        <v>2007</v>
      </c>
      <c r="D21" s="28">
        <v>5000</v>
      </c>
    </row>
    <row r="22" spans="3:4" ht="12.75">
      <c r="C22">
        <v>2008</v>
      </c>
      <c r="D22" s="28">
        <v>5000</v>
      </c>
    </row>
    <row r="23" spans="3:4" ht="12.75">
      <c r="C23">
        <v>2009</v>
      </c>
      <c r="D23" s="28">
        <v>5500</v>
      </c>
    </row>
    <row r="24" spans="3:4" ht="12.75">
      <c r="C24">
        <v>2010</v>
      </c>
      <c r="D24" s="28">
        <v>5500</v>
      </c>
    </row>
    <row r="25" spans="3:4" ht="12.75">
      <c r="C25">
        <v>2011</v>
      </c>
      <c r="D25" s="28">
        <v>5500</v>
      </c>
    </row>
    <row r="26" spans="3:4" ht="12.75">
      <c r="C26">
        <v>2012</v>
      </c>
      <c r="D26" s="28">
        <v>5500</v>
      </c>
    </row>
    <row r="27" spans="3:4" ht="12.75">
      <c r="C27">
        <v>2013</v>
      </c>
      <c r="D27" s="28">
        <v>5500</v>
      </c>
    </row>
    <row r="28" spans="3:4" ht="12.75">
      <c r="C28">
        <v>2014</v>
      </c>
      <c r="D28" s="28">
        <v>5500</v>
      </c>
    </row>
    <row r="29" spans="3:4" ht="12.75">
      <c r="C29">
        <v>2015</v>
      </c>
      <c r="D29" s="28">
        <v>5500</v>
      </c>
    </row>
    <row r="30" spans="3:4" ht="12.75">
      <c r="C30">
        <v>2016</v>
      </c>
      <c r="D30" s="28">
        <v>5500</v>
      </c>
    </row>
    <row r="31" spans="3:4" ht="12.75">
      <c r="C31">
        <v>2017</v>
      </c>
      <c r="D31" s="28">
        <v>5500</v>
      </c>
    </row>
    <row r="32" spans="3:4" ht="12.75">
      <c r="C32">
        <v>2018</v>
      </c>
      <c r="D32" s="28">
        <v>6000</v>
      </c>
    </row>
  </sheetData>
  <sheetProtection/>
  <mergeCells count="2">
    <mergeCell ref="C10:I10"/>
    <mergeCell ref="C14:I1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rob-rumble</dc:creator>
  <cp:keywords/>
  <dc:description/>
  <cp:lastModifiedBy>Ragheb, Beshoy</cp:lastModifiedBy>
  <cp:lastPrinted>2017-11-26T03:29:53Z</cp:lastPrinted>
  <dcterms:created xsi:type="dcterms:W3CDTF">2007-07-09T22:50:16Z</dcterms:created>
  <dcterms:modified xsi:type="dcterms:W3CDTF">2019-01-11T18:35:48Z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PR_DocID">
    <vt:lpwstr>949CE11E6D4A42F8A068AB3280B43F41</vt:lpwstr>
  </property>
  <property fmtid="{D5CDD505-2E9C-101B-9397-08002B2CF9AE}" pid="3" name="MPR_PEERREVIEW">
    <vt:lpwstr>Peer Review Identifier</vt:lpwstr>
  </property>
  <property fmtid="{D5CDD505-2E9C-101B-9397-08002B2CF9AE}" pid="4" name="_dlc_DocId">
    <vt:lpwstr>SCP5UENJTFED-513-112</vt:lpwstr>
  </property>
  <property fmtid="{D5CDD505-2E9C-101B-9397-08002B2CF9AE}" pid="5" name="_dlc_DocIdItemGuid">
    <vt:lpwstr>7fcd78e1-6624-4120-b0be-77a3a590287f</vt:lpwstr>
  </property>
  <property fmtid="{D5CDD505-2E9C-101B-9397-08002B2CF9AE}" pid="6" name="_dlc_DocIdUrl">
    <vt:lpwstr>https://csyou.calstate.edu/Employee-Resources/Benefits/_layouts/15/DocIdRedir.aspx?ID=SCP5UENJTFED-513-112, SCP5UENJTFED-513-112</vt:lpwstr>
  </property>
</Properties>
</file>