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tabRatio="443" activeTab="0"/>
  </bookViews>
  <sheets>
    <sheet name="Data Entry" sheetId="1" r:id="rId1"/>
    <sheet name="Years of Service" sheetId="2" r:id="rId2"/>
    <sheet name="Printout" sheetId="3" r:id="rId3"/>
    <sheet name="Constants" sheetId="4" state="hidden" r:id="rId4"/>
  </sheets>
  <definedNames>
    <definedName name="CatchUp">'Constants'!$D$6</definedName>
    <definedName name="COMP">'Data Entry'!$B$19</definedName>
    <definedName name="Def87">'Data Entry'!$B$31</definedName>
    <definedName name="DOB">'Data Entry'!$B$12</definedName>
    <definedName name="EMAIL">'Data Entry'!$E$13</definedName>
    <definedName name="Limit402g">'Constants'!$D$4</definedName>
    <definedName name="Limit415">'Constants'!$D$5</definedName>
    <definedName name="phone">'Data Entry'!$E$12</definedName>
    <definedName name="_xlnm.Print_Area" localSheetId="0">'Data Entry'!$A$1:$K$54</definedName>
    <definedName name="_xlnm.Print_Area" localSheetId="2">'Printout'!$A$1:$P$136</definedName>
    <definedName name="_xlnm.Print_Area" localSheetId="1">'Years of Service'!$A$1:$L$54</definedName>
    <definedName name="Roth">'Data Entry'!$B$25</definedName>
    <definedName name="Service">'Years of Service'!$C$20</definedName>
    <definedName name="TotalAge50CUs">'Data Entry'!#REF!</definedName>
    <definedName name="TotalDefs">'Data Entry'!$B$27</definedName>
    <definedName name="Yr">'Constants'!$D$3</definedName>
  </definedNames>
  <calcPr fullCalcOnLoad="1"/>
</workbook>
</file>

<file path=xl/sharedStrings.xml><?xml version="1.0" encoding="utf-8"?>
<sst xmlns="http://schemas.openxmlformats.org/spreadsheetml/2006/main" count="190" uniqueCount="127">
  <si>
    <t>Complete all cells shaded in yellow.</t>
  </si>
  <si>
    <t>First</t>
  </si>
  <si>
    <t>Last</t>
  </si>
  <si>
    <t>M.I.</t>
  </si>
  <si>
    <t>Social Security Number</t>
  </si>
  <si>
    <t>Year of Birth</t>
  </si>
  <si>
    <t>Telephone (work or home)</t>
  </si>
  <si>
    <t>e-mail</t>
  </si>
  <si>
    <t>Complete the Years of Service Worksheet on the next tab</t>
  </si>
  <si>
    <t>Years of Service</t>
  </si>
  <si>
    <t>Compensation is taxable income plus pre-tax employee contributions to an IRC §403(b), §457, §401(k),</t>
  </si>
  <si>
    <t>§132(f) (pre-tax transportation reimbursement) or §125 plan.  Compensation does not include pre-tax</t>
  </si>
  <si>
    <t xml:space="preserve">contributions to CalPERS.  </t>
  </si>
  <si>
    <t>Total §403(b) and §401(k) deferrals made before 1987 and while employed at the CSU.</t>
  </si>
  <si>
    <t>Deferral *</t>
  </si>
  <si>
    <t>Year</t>
  </si>
  <si>
    <t xml:space="preserve">* Include contributions made by you to any Section 401(k) or 403(b) plan (including Roth contributions), or Simplified Employee Pension (SEP). </t>
  </si>
  <si>
    <t>Years of Service Worksheet</t>
  </si>
  <si>
    <t>This worksheet will help you determine your years of service with the CSU.  You count service from when you</t>
  </si>
  <si>
    <t>Service is based on full-time employment, or its equivalent.  Full-time employment means the usual time at work</t>
  </si>
  <si>
    <t>for employees in the position you hold (or held) at the CSU.  If you worked that much or more in a year, then you</t>
  </si>
  <si>
    <t>earn a full year (1.0 year) of service.  If you worked half that much in a year, then you earn a half year (0.5 year)</t>
  </si>
  <si>
    <t>of service.  The percentage of time worked will usually provide a good indication of how much service you earn.</t>
  </si>
  <si>
    <t>If you work for less than a full year (for example in the year you are hired or if you had a period of unpaid leave</t>
  </si>
  <si>
    <t>or severance), then you must prorate your service in those years.  For example, if you work full-time for three</t>
  </si>
  <si>
    <t>months in a year in a position normally requiring 12 months of full-time work in a year, then you earn 0.25 years</t>
  </si>
  <si>
    <t>(3 months divided by 12 months) of service.</t>
  </si>
  <si>
    <t>You may refer to your annual CalPERS statement, or register on the My CalPERS website at:</t>
  </si>
  <si>
    <t>https://mycalpers.ca.gov  to obtain your years of service with the CSU.</t>
  </si>
  <si>
    <t>Total Years of Service</t>
  </si>
  <si>
    <t>Service</t>
  </si>
  <si>
    <t>IRC SECTIONS: 402(g)(7) (15 YEAR) AND 414(v) (AGE-50) CATCH-UP ALLOWANCES</t>
  </si>
  <si>
    <t>If you have been employed with the CSU for at least fifteen (15) years or more, and wish to demonstrate your eligibility to participate in</t>
  </si>
  <si>
    <t>the 15-Year Catch-Up Allowance, a completed, signed Worksheet is required and must be submitted to the Benefits Office.  The results</t>
  </si>
  <si>
    <t xml:space="preserve">will be documented in Retirement Manager and you will not be required to complete the Worksheet for any subsequent tax year. </t>
  </si>
  <si>
    <t>Last Name, First Middle</t>
  </si>
  <si>
    <t>* Social Security Number</t>
  </si>
  <si>
    <t>**Year of Birth</t>
  </si>
  <si>
    <t>Telephone (work or home) and/or e-mail</t>
  </si>
  <si>
    <t>Contributions to the §403(b) program must be no greater than the lesser of two different IRS limits.  These limits are under Internal Revenue Code (IRC)</t>
  </si>
  <si>
    <t>limit; it is reduced if you contribute to a §401(k) plan or a Simplified Employee Pension (SEP) during the year, even if those plans are sponsored by a</t>
  </si>
  <si>
    <t>different employer.  However, it is not reduced by your State of California Deferred Compensation Plan (§457(b)) or CalPERS retirement contribution.</t>
  </si>
  <si>
    <t>15-Year Catch-Up Allowance (IRC 402(g)(7))</t>
  </si>
  <si>
    <t xml:space="preserve">IRC §402(g)(7) provides a “catch-up” provision for the §402(g) limit, which permits eligible employees to contribute up to an additional $3,000 during the year, if you have at 
least fifteen (15) years of service with the CSU.  </t>
  </si>
  <si>
    <t>Age-50 Catch-Up Allowance (IRC 414(v))</t>
  </si>
  <si>
    <t xml:space="preserve">If you are or will be age-50 by the end of the calendar year, and you have contributed the lesser of 100% of pay or the maximum permitted under </t>
  </si>
  <si>
    <t>to a governmental §457(b) plan.</t>
  </si>
  <si>
    <t>Step 1:</t>
  </si>
  <si>
    <t>Enter your years of service at the CSU (complete attached “Years of Service Worksheet”).  If you</t>
  </si>
  <si>
    <t>have less than 15 years of service you are not eligible to use the 15-year catch-up provision.</t>
  </si>
  <si>
    <t>(1)</t>
  </si>
  <si>
    <t>Step 2:</t>
  </si>
  <si>
    <t>contributions to an IRC §403(b), §457, §401(k), §132(f) (pre-tax transportation reimbursement) or §125 plan</t>
  </si>
  <si>
    <t>but does not include pre-tax contributions to CalPERS retirement.)  The §402(g) limit is not considered</t>
  </si>
  <si>
    <t>in Step 2 of the calculation.</t>
  </si>
  <si>
    <t>(2)</t>
  </si>
  <si>
    <t>Step 3:</t>
  </si>
  <si>
    <t>§403(b) contributions prior to 1987 are ignored for Step 3.</t>
  </si>
  <si>
    <t>(A)</t>
  </si>
  <si>
    <t>(B)</t>
  </si>
  <si>
    <t>(C)</t>
  </si>
  <si>
    <t>(D)</t>
  </si>
  <si>
    <t>(E)</t>
  </si>
  <si>
    <t>(F)</t>
  </si>
  <si>
    <t>(G)</t>
  </si>
  <si>
    <t>§403(b) Contributions</t>
  </si>
  <si>
    <t>§402(g) Limit</t>
  </si>
  <si>
    <t>(B) minus (C), but not less than $0</t>
  </si>
  <si>
    <t>Portion of (D) designated 15-year catch-up</t>
  </si>
  <si>
    <t>Portion of (D) designated age-50 catch-up</t>
  </si>
  <si>
    <t>Portion of (D) that is an excess deferral</t>
  </si>
  <si>
    <t>Age</t>
  </si>
  <si>
    <t>minus</t>
  </si>
  <si>
    <t>=</t>
  </si>
  <si>
    <t>Total Prior 15-Year Catch-Up Contributions =</t>
  </si>
  <si>
    <t>Step 4:</t>
  </si>
  <si>
    <t>Totals for Steps 3:</t>
  </si>
  <si>
    <t>(4)</t>
  </si>
  <si>
    <t>If total equals or exceeds $15,000, you are not eligible for the 15-year catch-up provision.</t>
  </si>
  <si>
    <t>Step 5:</t>
  </si>
  <si>
    <t>(5)</t>
  </si>
  <si>
    <t>*  Your Social Security number is required because it is your payroll identification number and your 403(b) contribution affects payroll transactions.</t>
  </si>
  <si>
    <t>** Year of birth is required to permit additional contributions for employees age-50 and over.</t>
  </si>
  <si>
    <t>Step 6:</t>
  </si>
  <si>
    <t>a)</t>
  </si>
  <si>
    <t>Years of Service entered in Step 1</t>
  </si>
  <si>
    <t>b)</t>
  </si>
  <si>
    <t>Multiply by $5,000</t>
  </si>
  <si>
    <t>x</t>
  </si>
  <si>
    <t>This equals:</t>
  </si>
  <si>
    <t>c)</t>
  </si>
  <si>
    <t>Subtract your prior §403(b) and §401(k) contributions for</t>
  </si>
  <si>
    <t>the entire period of your CSU employment.  Do not include</t>
  </si>
  <si>
    <t>age-50 catch-ups.</t>
  </si>
  <si>
    <t>This equals (not less than zero):</t>
  </si>
  <si>
    <t>d)</t>
  </si>
  <si>
    <t>(6)</t>
  </si>
  <si>
    <t>Step 7:</t>
  </si>
  <si>
    <t>(7)</t>
  </si>
  <si>
    <t>Step 8:</t>
  </si>
  <si>
    <t>Enter the least of the amounts from Steps (2), (5), (6), and (7).  This is the maximum amount you</t>
  </si>
  <si>
    <t>(8)</t>
  </si>
  <si>
    <t>are permitted to contribute using the §402(g)(7) 15-year catch-up provision.</t>
  </si>
  <si>
    <t>Step 9:</t>
  </si>
  <si>
    <t>(9)</t>
  </si>
  <si>
    <t>Breakdown of Maximum Eligible Contribution:</t>
  </si>
  <si>
    <t>Contribution up to IRC §402(g)(1) Limit (or 100% of compensation if less):</t>
  </si>
  <si>
    <t>15-Year Catch-Up Under IRC §402(g)(7):</t>
  </si>
  <si>
    <t>Age-50 Catch-Up Under IRC §414(v):</t>
  </si>
  <si>
    <t>Total Eligible Contribution:</t>
  </si>
  <si>
    <t xml:space="preserve">My signature certifies that I have at least 15 years of CSU service and to the best of my knowledge the information used in completing this worksheet is accurate. I understand that I (and/or my financial advisor) is/are solely responsible for the accuracy of the information supplied on this form. </t>
  </si>
  <si>
    <t xml:space="preserve">Employee Signature:  </t>
  </si>
  <si>
    <t>Date:</t>
  </si>
  <si>
    <t>Campus Representative:</t>
  </si>
  <si>
    <t>See hidden rows 3-26</t>
  </si>
  <si>
    <t>Year:</t>
  </si>
  <si>
    <t>402(g)(1):</t>
  </si>
  <si>
    <t>415 Limit:</t>
  </si>
  <si>
    <t>Age 50 Catch-Up Limit:</t>
  </si>
  <si>
    <t>Annual Update</t>
  </si>
  <si>
    <t>Update fields above</t>
  </si>
  <si>
    <t>Add year to "Printout" row 66, including columns O and P.  Make sure new row in column P has this formula "Service-'Years of Service'!C24", and all others in column P have same formula</t>
  </si>
  <si>
    <t>Add year to "Data Entry" row 59</t>
  </si>
  <si>
    <t>Adjust cell references in "Clear Data" Macro</t>
  </si>
  <si>
    <t>Make sure all of above are being added in correctly</t>
  </si>
  <si>
    <r>
      <t>Adjust input note on "Data Entry" cell B30.  Input note maximum should be total cumulative Catch-Up possible from 2002 to Yr-1 (</t>
    </r>
    <r>
      <rPr>
        <sz val="8"/>
        <color indexed="60"/>
        <rFont val="Arial"/>
        <family val="2"/>
      </rPr>
      <t xml:space="preserve">41,500 </t>
    </r>
    <r>
      <rPr>
        <sz val="8"/>
        <rFont val="Arial"/>
        <family val="2"/>
      </rPr>
      <t xml:space="preserve">for 2012 plan year worksheet, see below).  </t>
    </r>
    <r>
      <rPr>
        <sz val="8"/>
        <color indexed="12"/>
        <rFont val="Arial"/>
        <family val="2"/>
      </rPr>
      <t>Menu=Data/Validation</t>
    </r>
  </si>
  <si>
    <t>Catch Up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</si>
</sst>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\-00\-0000"/>
    <numFmt numFmtId="166" formatCode="\(000&quot;) &quot;000\-0000"/>
    <numFmt numFmtId="167" formatCode="_(* #,##0.00_);_(* \(#,##0.00\);_(* \-??_);_(@_)"/>
    <numFmt numFmtId="168" formatCode="_(\$* #,##0.00_);_(\$* \(#,##0.00\);_(\$* \-??_);_(@_)"/>
    <numFmt numFmtId="169" formatCode="_(* #,##0_);_(* \(#,##0\);_(* \-??_);_(@_)"/>
    <numFmt numFmtId="170" formatCode="_(\$* #,##0_);_(\$* \(#,##0\);_(\$* \-??_);_(@_)"/>
  </numFmts>
  <fonts count="5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.7"/>
      <color indexed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2"/>
      <color indexed="9"/>
      <name val="Arial Narrow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4"/>
      <name val="Bell MT"/>
      <family val="1"/>
    </font>
    <font>
      <b/>
      <u val="single"/>
      <sz val="10"/>
      <name val="Arial"/>
      <family val="2"/>
    </font>
    <font>
      <sz val="10.5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64" fontId="2" fillId="33" borderId="10" xfId="0" applyNumberFormat="1" applyFont="1" applyFill="1" applyBorder="1" applyAlignment="1" applyProtection="1">
      <alignment/>
      <protection locked="0"/>
    </xf>
    <xf numFmtId="165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168" fontId="2" fillId="33" borderId="10" xfId="44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7" fontId="0" fillId="0" borderId="0" xfId="42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169" fontId="0" fillId="0" borderId="0" xfId="42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8" fontId="0" fillId="0" borderId="0" xfId="44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4" fontId="12" fillId="0" borderId="1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justify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justify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7" fontId="0" fillId="0" borderId="17" xfId="42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8" fontId="0" fillId="0" borderId="0" xfId="44" applyFont="1" applyFill="1" applyBorder="1" applyAlignment="1" applyProtection="1">
      <alignment/>
      <protection locked="0"/>
    </xf>
    <xf numFmtId="168" fontId="0" fillId="0" borderId="17" xfId="44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8" fontId="0" fillId="0" borderId="0" xfId="44" applyFont="1" applyFill="1" applyBorder="1" applyAlignment="1" applyProtection="1">
      <alignment horizontal="right"/>
      <protection locked="0"/>
    </xf>
    <xf numFmtId="169" fontId="0" fillId="0" borderId="0" xfId="42" applyNumberFormat="1" applyFont="1" applyFill="1" applyBorder="1" applyAlignment="1" applyProtection="1">
      <alignment horizontal="right"/>
      <protection locked="0"/>
    </xf>
    <xf numFmtId="167" fontId="15" fillId="0" borderId="0" xfId="42" applyFont="1" applyFill="1" applyBorder="1" applyAlignment="1" applyProtection="1">
      <alignment/>
      <protection locked="0"/>
    </xf>
    <xf numFmtId="167" fontId="15" fillId="0" borderId="0" xfId="0" applyNumberFormat="1" applyFont="1" applyFill="1" applyAlignment="1" applyProtection="1">
      <alignment/>
      <protection locked="0"/>
    </xf>
    <xf numFmtId="167" fontId="0" fillId="0" borderId="0" xfId="0" applyNumberFormat="1" applyAlignment="1" applyProtection="1">
      <alignment horizontal="left"/>
      <protection locked="0"/>
    </xf>
    <xf numFmtId="169" fontId="57" fillId="0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169" fontId="0" fillId="0" borderId="0" xfId="0" applyNumberFormat="1" applyFont="1" applyAlignment="1" applyProtection="1">
      <alignment/>
      <protection locked="0"/>
    </xf>
    <xf numFmtId="168" fontId="5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8" fontId="1" fillId="0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68" fontId="0" fillId="0" borderId="0" xfId="0" applyNumberFormat="1" applyFont="1" applyAlignment="1" applyProtection="1">
      <alignment/>
      <protection locked="0"/>
    </xf>
    <xf numFmtId="168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168" fontId="0" fillId="0" borderId="17" xfId="44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0" fontId="8" fillId="0" borderId="0" xfId="44" applyNumberFormat="1" applyFont="1" applyFill="1" applyBorder="1" applyAlignment="1" applyProtection="1">
      <alignment/>
      <protection locked="0"/>
    </xf>
    <xf numFmtId="170" fontId="0" fillId="0" borderId="0" xfId="44" applyNumberFormat="1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8" fontId="8" fillId="0" borderId="0" xfId="44" applyFont="1" applyFill="1" applyBorder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justify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67" fontId="1" fillId="0" borderId="1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67" fontId="0" fillId="0" borderId="10" xfId="42" applyFont="1" applyFill="1" applyBorder="1" applyAlignment="1" applyProtection="1">
      <alignment/>
      <protection locked="0"/>
    </xf>
    <xf numFmtId="166" fontId="3" fillId="33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justify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justify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rgb="FF0000FF"/>
      </font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1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14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I60"/>
  <sheetViews>
    <sheetView tabSelected="1" zoomScale="87" zoomScaleNormal="87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13.421875" style="1" customWidth="1"/>
    <col min="3" max="3" width="9.140625" style="1" customWidth="1"/>
    <col min="4" max="4" width="8.7109375" style="1" customWidth="1"/>
    <col min="5" max="5" width="13.00390625" style="1" customWidth="1"/>
    <col min="6" max="6" width="9.8515625" style="1" customWidth="1"/>
    <col min="7" max="7" width="5.00390625" style="1" customWidth="1"/>
    <col min="8" max="8" width="10.140625" style="1" customWidth="1"/>
    <col min="9" max="9" width="9.140625" style="2" customWidth="1"/>
    <col min="10" max="10" width="8.00390625" style="2" customWidth="1"/>
    <col min="11" max="14" width="9.140625" style="1" customWidth="1"/>
    <col min="15" max="15" width="13.7109375" style="1" customWidth="1"/>
    <col min="16" max="16384" width="9.140625" style="1" customWidth="1"/>
  </cols>
  <sheetData>
    <row r="2" ht="12.75">
      <c r="B2" s="3" t="s">
        <v>0</v>
      </c>
    </row>
    <row r="3" ht="12.75">
      <c r="B3" s="3" t="str">
        <f>"When complete, print and save this page to use in next year's ("&amp;Yr+1&amp;") calculation."</f>
        <v>When complete, print and save this page to use in next year's (2017) calculation.</v>
      </c>
    </row>
    <row r="4" ht="8.25" customHeight="1"/>
    <row r="5" ht="8.25" customHeight="1"/>
    <row r="6" ht="8.25" customHeight="1"/>
    <row r="7" spans="2:9" ht="12.75">
      <c r="B7" s="4"/>
      <c r="C7" s="1" t="s">
        <v>1</v>
      </c>
      <c r="E7" s="4"/>
      <c r="F7" s="1" t="s">
        <v>2</v>
      </c>
      <c r="G7" s="4"/>
      <c r="H7" s="1" t="s">
        <v>3</v>
      </c>
      <c r="I7" s="1"/>
    </row>
    <row r="8" ht="8.25" customHeight="1"/>
    <row r="9" spans="2:3" ht="12.75">
      <c r="B9" s="5"/>
      <c r="C9" s="1" t="s">
        <v>4</v>
      </c>
    </row>
    <row r="10" ht="8.25" customHeight="1"/>
    <row r="11" ht="8.25" customHeight="1"/>
    <row r="12" spans="2:9" ht="12.75">
      <c r="B12" s="6"/>
      <c r="C12" s="1" t="s">
        <v>5</v>
      </c>
      <c r="E12" s="121"/>
      <c r="F12" s="121"/>
      <c r="G12" s="2" t="s">
        <v>6</v>
      </c>
      <c r="I12" s="1"/>
    </row>
    <row r="13" spans="5:9" ht="12.75">
      <c r="E13" s="121"/>
      <c r="F13" s="121"/>
      <c r="G13" s="2" t="s">
        <v>7</v>
      </c>
      <c r="I13" s="1"/>
    </row>
    <row r="14" ht="7.5" customHeight="1"/>
    <row r="16" spans="2:7" ht="12.75">
      <c r="B16" s="117" t="s">
        <v>8</v>
      </c>
      <c r="C16" s="118"/>
      <c r="D16" s="118"/>
      <c r="E16" s="119"/>
      <c r="F16" s="120">
        <f>Service</f>
        <v>0</v>
      </c>
      <c r="G16" s="1" t="s">
        <v>9</v>
      </c>
    </row>
    <row r="17" ht="12.75">
      <c r="F17" s="7"/>
    </row>
    <row r="18" ht="5.25" customHeight="1">
      <c r="F18" s="7"/>
    </row>
    <row r="19" spans="2:3" ht="12.75">
      <c r="B19" s="8"/>
      <c r="C19" s="1" t="str">
        <f>Yr&amp;" Compensation"</f>
        <v>2016 Compensation</v>
      </c>
    </row>
    <row r="20" ht="6.75" customHeight="1"/>
    <row r="21" ht="14.25" customHeight="1">
      <c r="B21" s="9" t="s">
        <v>10</v>
      </c>
    </row>
    <row r="22" ht="14.25" customHeight="1">
      <c r="B22" s="9" t="s">
        <v>11</v>
      </c>
    </row>
    <row r="23" ht="14.25" customHeight="1">
      <c r="B23" s="9" t="s">
        <v>12</v>
      </c>
    </row>
    <row r="24" ht="6.75" customHeight="1"/>
    <row r="25" ht="6.75" customHeight="1"/>
    <row r="26" ht="6.75" customHeight="1">
      <c r="C26" s="10"/>
    </row>
    <row r="27" spans="2:3" ht="12.75">
      <c r="B27" s="8"/>
      <c r="C27" s="1" t="s">
        <v>13</v>
      </c>
    </row>
    <row r="30" spans="2:9" ht="12.75" customHeight="1">
      <c r="B30" s="11" t="s">
        <v>14</v>
      </c>
      <c r="C30" s="11" t="s">
        <v>15</v>
      </c>
      <c r="E30" s="122" t="s">
        <v>16</v>
      </c>
      <c r="F30" s="122"/>
      <c r="G30" s="122"/>
      <c r="H30" s="122"/>
      <c r="I30" s="122"/>
    </row>
    <row r="31" spans="2:9" ht="12.75">
      <c r="B31" s="8"/>
      <c r="C31" s="11">
        <v>1987</v>
      </c>
      <c r="E31" s="122"/>
      <c r="F31" s="122"/>
      <c r="G31" s="122"/>
      <c r="H31" s="122"/>
      <c r="I31" s="122"/>
    </row>
    <row r="32" spans="2:9" ht="12.75">
      <c r="B32" s="8"/>
      <c r="C32" s="11">
        <f aca="true" t="shared" si="0" ref="C32:C59">1+C31</f>
        <v>1988</v>
      </c>
      <c r="E32" s="122"/>
      <c r="F32" s="122"/>
      <c r="G32" s="122"/>
      <c r="H32" s="122"/>
      <c r="I32" s="122"/>
    </row>
    <row r="33" spans="2:9" ht="12.75">
      <c r="B33" s="8"/>
      <c r="C33" s="11">
        <f t="shared" si="0"/>
        <v>1989</v>
      </c>
      <c r="E33" s="122"/>
      <c r="F33" s="122"/>
      <c r="G33" s="122"/>
      <c r="H33" s="122"/>
      <c r="I33" s="122"/>
    </row>
    <row r="34" spans="2:9" ht="12.75">
      <c r="B34" s="8"/>
      <c r="C34" s="11">
        <f t="shared" si="0"/>
        <v>1990</v>
      </c>
      <c r="E34" s="122"/>
      <c r="F34" s="122"/>
      <c r="G34" s="122"/>
      <c r="H34" s="122"/>
      <c r="I34" s="122"/>
    </row>
    <row r="35" spans="2:9" ht="12.75">
      <c r="B35" s="8"/>
      <c r="C35" s="11">
        <f t="shared" si="0"/>
        <v>1991</v>
      </c>
      <c r="E35" s="122"/>
      <c r="F35" s="122"/>
      <c r="G35" s="122"/>
      <c r="H35" s="122"/>
      <c r="I35" s="122"/>
    </row>
    <row r="36" spans="2:9" ht="12.75">
      <c r="B36" s="8"/>
      <c r="C36" s="11">
        <f t="shared" si="0"/>
        <v>1992</v>
      </c>
      <c r="E36" s="122"/>
      <c r="F36" s="122"/>
      <c r="G36" s="122"/>
      <c r="H36" s="122"/>
      <c r="I36" s="122"/>
    </row>
    <row r="37" spans="2:7" ht="12.75">
      <c r="B37" s="8"/>
      <c r="C37" s="11">
        <f t="shared" si="0"/>
        <v>1993</v>
      </c>
      <c r="G37" s="7"/>
    </row>
    <row r="38" spans="2:7" ht="12.75">
      <c r="B38" s="8"/>
      <c r="C38" s="11">
        <f t="shared" si="0"/>
        <v>1994</v>
      </c>
      <c r="G38" s="7"/>
    </row>
    <row r="39" spans="2:3" ht="12.75">
      <c r="B39" s="8"/>
      <c r="C39" s="11">
        <f t="shared" si="0"/>
        <v>1995</v>
      </c>
    </row>
    <row r="40" spans="2:3" ht="12.75">
      <c r="B40" s="8"/>
      <c r="C40" s="11">
        <f t="shared" si="0"/>
        <v>1996</v>
      </c>
    </row>
    <row r="41" spans="2:3" ht="12.75">
      <c r="B41" s="8"/>
      <c r="C41" s="11">
        <f t="shared" si="0"/>
        <v>1997</v>
      </c>
    </row>
    <row r="42" spans="2:3" ht="12.75">
      <c r="B42" s="8"/>
      <c r="C42" s="11">
        <f t="shared" si="0"/>
        <v>1998</v>
      </c>
    </row>
    <row r="43" spans="2:3" ht="12.75">
      <c r="B43" s="8"/>
      <c r="C43" s="11">
        <f t="shared" si="0"/>
        <v>1999</v>
      </c>
    </row>
    <row r="44" spans="2:3" ht="12.75">
      <c r="B44" s="8"/>
      <c r="C44" s="11">
        <f t="shared" si="0"/>
        <v>2000</v>
      </c>
    </row>
    <row r="45" spans="2:3" ht="12.75">
      <c r="B45" s="8"/>
      <c r="C45" s="11">
        <f t="shared" si="0"/>
        <v>2001</v>
      </c>
    </row>
    <row r="46" spans="2:3" ht="12.75">
      <c r="B46" s="8"/>
      <c r="C46" s="11">
        <f t="shared" si="0"/>
        <v>2002</v>
      </c>
    </row>
    <row r="47" spans="2:3" ht="12.75">
      <c r="B47" s="8"/>
      <c r="C47" s="11">
        <f t="shared" si="0"/>
        <v>2003</v>
      </c>
    </row>
    <row r="48" spans="2:3" ht="12.75">
      <c r="B48" s="8"/>
      <c r="C48" s="11">
        <f t="shared" si="0"/>
        <v>2004</v>
      </c>
    </row>
    <row r="49" spans="2:3" ht="12.75">
      <c r="B49" s="8"/>
      <c r="C49" s="11">
        <f t="shared" si="0"/>
        <v>2005</v>
      </c>
    </row>
    <row r="50" spans="2:3" ht="12.75">
      <c r="B50" s="8"/>
      <c r="C50" s="11">
        <f t="shared" si="0"/>
        <v>2006</v>
      </c>
    </row>
    <row r="51" spans="2:3" ht="12.75">
      <c r="B51" s="8"/>
      <c r="C51" s="11">
        <f t="shared" si="0"/>
        <v>2007</v>
      </c>
    </row>
    <row r="52" spans="2:3" ht="12.75">
      <c r="B52" s="8"/>
      <c r="C52" s="11">
        <f t="shared" si="0"/>
        <v>2008</v>
      </c>
    </row>
    <row r="53" spans="2:3" ht="12.75">
      <c r="B53" s="8"/>
      <c r="C53" s="11">
        <f t="shared" si="0"/>
        <v>2009</v>
      </c>
    </row>
    <row r="54" spans="2:3" ht="12.75">
      <c r="B54" s="8"/>
      <c r="C54" s="11">
        <f t="shared" si="0"/>
        <v>2010</v>
      </c>
    </row>
    <row r="55" spans="2:3" ht="12.75">
      <c r="B55" s="8"/>
      <c r="C55" s="11">
        <f t="shared" si="0"/>
        <v>2011</v>
      </c>
    </row>
    <row r="56" spans="2:3" ht="12.75">
      <c r="B56" s="8"/>
      <c r="C56" s="11">
        <f t="shared" si="0"/>
        <v>2012</v>
      </c>
    </row>
    <row r="57" spans="2:3" ht="12.75">
      <c r="B57" s="8"/>
      <c r="C57" s="11">
        <f t="shared" si="0"/>
        <v>2013</v>
      </c>
    </row>
    <row r="58" spans="2:3" ht="13.5" thickBot="1">
      <c r="B58" s="8"/>
      <c r="C58" s="11">
        <f t="shared" si="0"/>
        <v>2014</v>
      </c>
    </row>
    <row r="59" spans="2:3" ht="13.5" thickBot="1">
      <c r="B59" s="8"/>
      <c r="C59" s="11">
        <f t="shared" si="0"/>
        <v>2015</v>
      </c>
    </row>
    <row r="60" ht="12.75">
      <c r="B60" s="12"/>
    </row>
  </sheetData>
  <sheetProtection/>
  <mergeCells count="3">
    <mergeCell ref="E12:F12"/>
    <mergeCell ref="E13:F13"/>
    <mergeCell ref="E30:I36"/>
  </mergeCells>
  <dataValidations count="2">
    <dataValidation type="decimal" operator="greaterThanOrEqual" allowBlank="1" showErrorMessage="1" errorTitle="PositiveErrorMsg" error="Please enter a value greater than zero." sqref="B19 B27 B31:B59">
      <formula1>0</formula1>
    </dataValidation>
    <dataValidation type="whole" allowBlank="1" showErrorMessage="1" errorTitle="YOB warning" error="Please enter year of birth" sqref="B12">
      <formula1>1910</formula1>
      <formula2>1998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1"/>
  <sheetViews>
    <sheetView zoomScalePageLayoutView="0" workbookViewId="0" topLeftCell="A4">
      <selection activeCell="F23" sqref="F23:F49"/>
    </sheetView>
  </sheetViews>
  <sheetFormatPr defaultColWidth="9.140625" defaultRowHeight="12.75"/>
  <cols>
    <col min="2" max="2" width="8.57421875" style="13" customWidth="1"/>
    <col min="3" max="3" width="7.00390625" style="0" customWidth="1"/>
    <col min="5" max="5" width="5.00390625" style="13" customWidth="1"/>
    <col min="6" max="6" width="7.00390625" style="0" customWidth="1"/>
  </cols>
  <sheetData>
    <row r="1" spans="1:12" ht="15.75">
      <c r="A1" s="123" t="s">
        <v>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25"/>
      <c r="B2" s="114"/>
      <c r="C2" s="25"/>
      <c r="D2" s="25"/>
      <c r="E2" s="114"/>
      <c r="F2" s="25"/>
      <c r="G2" s="25"/>
      <c r="H2" s="25"/>
      <c r="I2" s="25"/>
      <c r="J2" s="25"/>
      <c r="K2" s="25"/>
      <c r="L2" s="25"/>
    </row>
    <row r="3" spans="1:12" ht="15.75">
      <c r="A3" s="115" t="s">
        <v>18</v>
      </c>
      <c r="B3" s="114"/>
      <c r="C3" s="25"/>
      <c r="D3" s="25"/>
      <c r="E3" s="114"/>
      <c r="F3" s="25"/>
      <c r="G3" s="25"/>
      <c r="H3" s="25"/>
      <c r="I3" s="25"/>
      <c r="J3" s="25"/>
      <c r="K3" s="25"/>
      <c r="L3" s="25"/>
    </row>
    <row r="4" spans="1:12" ht="15.75">
      <c r="A4" s="115" t="str">
        <f>"first became an employee of the CSU projected to December 31, "&amp;Yr&amp;"."</f>
        <v>first became an employee of the CSU projected to December 31, 2016.</v>
      </c>
      <c r="B4" s="114"/>
      <c r="C4" s="25"/>
      <c r="D4" s="25"/>
      <c r="E4" s="114"/>
      <c r="F4" s="25"/>
      <c r="G4" s="25"/>
      <c r="H4" s="25"/>
      <c r="I4" s="25"/>
      <c r="J4" s="25"/>
      <c r="K4" s="25"/>
      <c r="L4" s="25"/>
    </row>
    <row r="5" spans="1:12" ht="12.75">
      <c r="A5" s="25"/>
      <c r="B5" s="114"/>
      <c r="C5" s="25"/>
      <c r="D5" s="25"/>
      <c r="E5" s="114"/>
      <c r="F5" s="25"/>
      <c r="G5" s="25"/>
      <c r="H5" s="25"/>
      <c r="I5" s="25"/>
      <c r="J5" s="25"/>
      <c r="K5" s="25"/>
      <c r="L5" s="25"/>
    </row>
    <row r="6" spans="1:12" ht="15.75">
      <c r="A6" s="115" t="s">
        <v>19</v>
      </c>
      <c r="B6" s="114"/>
      <c r="C6" s="25"/>
      <c r="D6" s="25"/>
      <c r="E6" s="114"/>
      <c r="F6" s="25"/>
      <c r="G6" s="25"/>
      <c r="H6" s="25"/>
      <c r="I6" s="25"/>
      <c r="J6" s="25"/>
      <c r="K6" s="25"/>
      <c r="L6" s="25"/>
    </row>
    <row r="7" spans="1:12" ht="15.75">
      <c r="A7" s="115" t="s">
        <v>20</v>
      </c>
      <c r="B7" s="114"/>
      <c r="C7" s="25"/>
      <c r="D7" s="25"/>
      <c r="E7" s="114"/>
      <c r="F7" s="25"/>
      <c r="G7" s="25"/>
      <c r="H7" s="25"/>
      <c r="I7" s="25"/>
      <c r="J7" s="25"/>
      <c r="K7" s="25"/>
      <c r="L7" s="25"/>
    </row>
    <row r="8" spans="1:12" ht="15.75">
      <c r="A8" s="115" t="s">
        <v>21</v>
      </c>
      <c r="B8" s="114"/>
      <c r="C8" s="25"/>
      <c r="D8" s="25"/>
      <c r="E8" s="114"/>
      <c r="F8" s="25"/>
      <c r="G8" s="25"/>
      <c r="H8" s="25"/>
      <c r="I8" s="25"/>
      <c r="J8" s="25"/>
      <c r="K8" s="25"/>
      <c r="L8" s="25"/>
    </row>
    <row r="9" spans="1:12" ht="15.75">
      <c r="A9" s="115" t="s">
        <v>22</v>
      </c>
      <c r="B9" s="114"/>
      <c r="C9" s="25"/>
      <c r="D9" s="25"/>
      <c r="E9" s="114"/>
      <c r="F9" s="25"/>
      <c r="G9" s="25"/>
      <c r="H9" s="25"/>
      <c r="I9" s="25"/>
      <c r="J9" s="25"/>
      <c r="K9" s="25"/>
      <c r="L9" s="25"/>
    </row>
    <row r="10" spans="1:12" ht="15.75">
      <c r="A10" s="115"/>
      <c r="B10" s="114"/>
      <c r="C10" s="25"/>
      <c r="D10" s="25"/>
      <c r="E10" s="114"/>
      <c r="F10" s="25"/>
      <c r="G10" s="25"/>
      <c r="H10" s="25"/>
      <c r="I10" s="25"/>
      <c r="J10" s="25"/>
      <c r="K10" s="25"/>
      <c r="L10" s="25"/>
    </row>
    <row r="11" spans="1:12" ht="15.75">
      <c r="A11" s="115" t="s">
        <v>23</v>
      </c>
      <c r="B11" s="114"/>
      <c r="C11" s="25"/>
      <c r="D11" s="25"/>
      <c r="E11" s="114"/>
      <c r="F11" s="25"/>
      <c r="G11" s="25"/>
      <c r="H11" s="25"/>
      <c r="I11" s="25"/>
      <c r="J11" s="25"/>
      <c r="K11" s="25"/>
      <c r="L11" s="25"/>
    </row>
    <row r="12" spans="1:12" ht="15.75">
      <c r="A12" s="115" t="s">
        <v>24</v>
      </c>
      <c r="B12" s="114"/>
      <c r="C12" s="25"/>
      <c r="D12" s="25"/>
      <c r="E12" s="114"/>
      <c r="F12" s="25"/>
      <c r="G12" s="25"/>
      <c r="H12" s="25"/>
      <c r="I12" s="25"/>
      <c r="J12" s="25"/>
      <c r="K12" s="25"/>
      <c r="L12" s="25"/>
    </row>
    <row r="13" spans="1:12" ht="15.75">
      <c r="A13" s="115" t="s">
        <v>25</v>
      </c>
      <c r="B13" s="114"/>
      <c r="C13" s="25"/>
      <c r="D13" s="25"/>
      <c r="E13" s="114"/>
      <c r="F13" s="25"/>
      <c r="G13" s="25"/>
      <c r="H13" s="25"/>
      <c r="I13" s="25"/>
      <c r="J13" s="25"/>
      <c r="K13" s="25"/>
      <c r="L13" s="25"/>
    </row>
    <row r="14" spans="1:12" ht="15.75">
      <c r="A14" s="115" t="s">
        <v>26</v>
      </c>
      <c r="B14" s="114"/>
      <c r="C14" s="25"/>
      <c r="D14" s="25"/>
      <c r="E14" s="114"/>
      <c r="F14" s="25"/>
      <c r="G14" s="25"/>
      <c r="H14" s="25"/>
      <c r="I14" s="25"/>
      <c r="J14" s="25"/>
      <c r="K14" s="25"/>
      <c r="L14" s="25"/>
    </row>
    <row r="15" spans="1:12" ht="15.75">
      <c r="A15" s="115"/>
      <c r="B15" s="114"/>
      <c r="C15" s="25"/>
      <c r="D15" s="25"/>
      <c r="E15" s="114"/>
      <c r="F15" s="25"/>
      <c r="G15" s="25"/>
      <c r="H15" s="25"/>
      <c r="I15" s="25"/>
      <c r="J15" s="25"/>
      <c r="K15" s="25"/>
      <c r="L15" s="25"/>
    </row>
    <row r="16" spans="1:12" ht="15.75">
      <c r="A16" s="115" t="s">
        <v>27</v>
      </c>
      <c r="B16" s="114"/>
      <c r="C16" s="25"/>
      <c r="D16" s="25"/>
      <c r="E16" s="114"/>
      <c r="F16" s="25"/>
      <c r="G16" s="25"/>
      <c r="H16" s="25"/>
      <c r="I16" s="25"/>
      <c r="J16" s="25"/>
      <c r="K16" s="25"/>
      <c r="L16" s="25"/>
    </row>
    <row r="17" spans="1:12" ht="15.75">
      <c r="A17" s="115" t="s">
        <v>28</v>
      </c>
      <c r="B17" s="114"/>
      <c r="C17" s="25"/>
      <c r="D17" s="25"/>
      <c r="E17" s="114"/>
      <c r="F17" s="25"/>
      <c r="G17" s="25"/>
      <c r="H17" s="25"/>
      <c r="I17" s="25"/>
      <c r="J17" s="25"/>
      <c r="K17" s="25"/>
      <c r="L17" s="25"/>
    </row>
    <row r="18" spans="1:12" ht="6.75" customHeight="1">
      <c r="A18" s="115"/>
      <c r="B18" s="114"/>
      <c r="C18" s="25"/>
      <c r="D18" s="25"/>
      <c r="E18" s="114"/>
      <c r="F18" s="25"/>
      <c r="G18" s="25"/>
      <c r="H18" s="25"/>
      <c r="I18" s="25"/>
      <c r="J18" s="25"/>
      <c r="K18" s="25"/>
      <c r="L18" s="25"/>
    </row>
    <row r="19" spans="1:12" ht="15.75">
      <c r="A19" s="115"/>
      <c r="B19" s="114"/>
      <c r="C19" s="25"/>
      <c r="D19" s="25"/>
      <c r="E19" s="114"/>
      <c r="F19" s="25"/>
      <c r="G19" s="25"/>
      <c r="H19" s="25"/>
      <c r="I19" s="25"/>
      <c r="J19" s="25"/>
      <c r="K19" s="25"/>
      <c r="L19" s="25"/>
    </row>
    <row r="20" spans="1:12" ht="15.75">
      <c r="A20" s="115"/>
      <c r="B20" s="114"/>
      <c r="C20" s="116">
        <f>SUM(C23:C51)+SUM(F23:F49)</f>
        <v>0</v>
      </c>
      <c r="D20" s="57" t="s">
        <v>29</v>
      </c>
      <c r="E20" s="84"/>
      <c r="F20" s="57"/>
      <c r="G20" s="25"/>
      <c r="H20" s="25"/>
      <c r="I20" s="25"/>
      <c r="J20" s="25"/>
      <c r="K20" s="25"/>
      <c r="L20" s="25"/>
    </row>
    <row r="22" spans="2:6" ht="12.75">
      <c r="B22" s="14" t="s">
        <v>15</v>
      </c>
      <c r="C22" s="15" t="s">
        <v>30</v>
      </c>
      <c r="E22" s="14" t="s">
        <v>15</v>
      </c>
      <c r="F22" s="15" t="s">
        <v>30</v>
      </c>
    </row>
    <row r="23" spans="2:6" ht="12.75">
      <c r="B23" s="13">
        <f>Yr</f>
        <v>2016</v>
      </c>
      <c r="C23" s="16"/>
      <c r="E23" s="13">
        <f>B51-1</f>
        <v>1987</v>
      </c>
      <c r="F23" s="16"/>
    </row>
    <row r="24" spans="2:6" ht="12.75">
      <c r="B24" s="13">
        <f>Yr-1</f>
        <v>2015</v>
      </c>
      <c r="C24" s="16"/>
      <c r="E24" s="13">
        <f aca="true" t="shared" si="0" ref="E24:E49">E23-1</f>
        <v>1986</v>
      </c>
      <c r="F24" s="16"/>
    </row>
    <row r="25" spans="2:6" ht="12.75">
      <c r="B25" s="13">
        <f aca="true" t="shared" si="1" ref="B25:B51">B24-1</f>
        <v>2014</v>
      </c>
      <c r="C25" s="16"/>
      <c r="E25" s="13">
        <f t="shared" si="0"/>
        <v>1985</v>
      </c>
      <c r="F25" s="16"/>
    </row>
    <row r="26" spans="2:6" ht="12.75">
      <c r="B26" s="13">
        <f t="shared" si="1"/>
        <v>2013</v>
      </c>
      <c r="C26" s="16"/>
      <c r="E26" s="13">
        <f t="shared" si="0"/>
        <v>1984</v>
      </c>
      <c r="F26" s="16"/>
    </row>
    <row r="27" spans="2:6" ht="12.75">
      <c r="B27" s="13">
        <f t="shared" si="1"/>
        <v>2012</v>
      </c>
      <c r="C27" s="16"/>
      <c r="E27" s="13">
        <f t="shared" si="0"/>
        <v>1983</v>
      </c>
      <c r="F27" s="16"/>
    </row>
    <row r="28" spans="2:6" ht="12.75">
      <c r="B28" s="13">
        <f t="shared" si="1"/>
        <v>2011</v>
      </c>
      <c r="C28" s="16"/>
      <c r="E28" s="13">
        <f t="shared" si="0"/>
        <v>1982</v>
      </c>
      <c r="F28" s="16"/>
    </row>
    <row r="29" spans="2:6" ht="12.75">
      <c r="B29" s="13">
        <f t="shared" si="1"/>
        <v>2010</v>
      </c>
      <c r="C29" s="16"/>
      <c r="E29" s="13">
        <f t="shared" si="0"/>
        <v>1981</v>
      </c>
      <c r="F29" s="16"/>
    </row>
    <row r="30" spans="2:6" ht="12.75">
      <c r="B30" s="13">
        <f t="shared" si="1"/>
        <v>2009</v>
      </c>
      <c r="C30" s="16"/>
      <c r="E30" s="13">
        <f t="shared" si="0"/>
        <v>1980</v>
      </c>
      <c r="F30" s="16"/>
    </row>
    <row r="31" spans="2:6" ht="12.75">
      <c r="B31" s="13">
        <f t="shared" si="1"/>
        <v>2008</v>
      </c>
      <c r="C31" s="16"/>
      <c r="E31" s="13">
        <f t="shared" si="0"/>
        <v>1979</v>
      </c>
      <c r="F31" s="16"/>
    </row>
    <row r="32" spans="2:6" ht="12.75">
      <c r="B32" s="13">
        <f t="shared" si="1"/>
        <v>2007</v>
      </c>
      <c r="C32" s="16"/>
      <c r="E32" s="13">
        <f t="shared" si="0"/>
        <v>1978</v>
      </c>
      <c r="F32" s="16"/>
    </row>
    <row r="33" spans="2:6" ht="12.75">
      <c r="B33" s="13">
        <f t="shared" si="1"/>
        <v>2006</v>
      </c>
      <c r="C33" s="16"/>
      <c r="E33" s="13">
        <f t="shared" si="0"/>
        <v>1977</v>
      </c>
      <c r="F33" s="16"/>
    </row>
    <row r="34" spans="2:6" ht="12.75">
      <c r="B34" s="13">
        <f t="shared" si="1"/>
        <v>2005</v>
      </c>
      <c r="C34" s="16"/>
      <c r="E34" s="13">
        <f t="shared" si="0"/>
        <v>1976</v>
      </c>
      <c r="F34" s="16"/>
    </row>
    <row r="35" spans="2:6" ht="12.75">
      <c r="B35" s="13">
        <f t="shared" si="1"/>
        <v>2004</v>
      </c>
      <c r="C35" s="16"/>
      <c r="E35" s="13">
        <f t="shared" si="0"/>
        <v>1975</v>
      </c>
      <c r="F35" s="16"/>
    </row>
    <row r="36" spans="2:6" ht="12.75">
      <c r="B36" s="13">
        <f t="shared" si="1"/>
        <v>2003</v>
      </c>
      <c r="C36" s="16"/>
      <c r="E36" s="13">
        <f t="shared" si="0"/>
        <v>1974</v>
      </c>
      <c r="F36" s="16"/>
    </row>
    <row r="37" spans="2:6" ht="12.75">
      <c r="B37" s="13">
        <f t="shared" si="1"/>
        <v>2002</v>
      </c>
      <c r="C37" s="16"/>
      <c r="E37" s="13">
        <f t="shared" si="0"/>
        <v>1973</v>
      </c>
      <c r="F37" s="16"/>
    </row>
    <row r="38" spans="2:6" ht="12.75">
      <c r="B38" s="13">
        <f t="shared" si="1"/>
        <v>2001</v>
      </c>
      <c r="C38" s="16"/>
      <c r="E38" s="13">
        <f t="shared" si="0"/>
        <v>1972</v>
      </c>
      <c r="F38" s="16"/>
    </row>
    <row r="39" spans="2:6" ht="12.75">
      <c r="B39" s="13">
        <f t="shared" si="1"/>
        <v>2000</v>
      </c>
      <c r="C39" s="16"/>
      <c r="E39" s="13">
        <f t="shared" si="0"/>
        <v>1971</v>
      </c>
      <c r="F39" s="16"/>
    </row>
    <row r="40" spans="2:6" ht="12.75">
      <c r="B40" s="13">
        <f t="shared" si="1"/>
        <v>1999</v>
      </c>
      <c r="C40" s="16"/>
      <c r="E40" s="13">
        <f t="shared" si="0"/>
        <v>1970</v>
      </c>
      <c r="F40" s="16"/>
    </row>
    <row r="41" spans="2:6" ht="12.75">
      <c r="B41" s="13">
        <f t="shared" si="1"/>
        <v>1998</v>
      </c>
      <c r="C41" s="16"/>
      <c r="E41" s="13">
        <f t="shared" si="0"/>
        <v>1969</v>
      </c>
      <c r="F41" s="16"/>
    </row>
    <row r="42" spans="2:6" ht="12.75">
      <c r="B42" s="13">
        <f t="shared" si="1"/>
        <v>1997</v>
      </c>
      <c r="C42" s="16"/>
      <c r="E42" s="13">
        <f t="shared" si="0"/>
        <v>1968</v>
      </c>
      <c r="F42" s="16"/>
    </row>
    <row r="43" spans="2:6" ht="12.75">
      <c r="B43" s="13">
        <f t="shared" si="1"/>
        <v>1996</v>
      </c>
      <c r="C43" s="16"/>
      <c r="E43" s="13">
        <f t="shared" si="0"/>
        <v>1967</v>
      </c>
      <c r="F43" s="16"/>
    </row>
    <row r="44" spans="2:6" ht="12.75">
      <c r="B44" s="13">
        <f t="shared" si="1"/>
        <v>1995</v>
      </c>
      <c r="C44" s="16"/>
      <c r="E44" s="13">
        <f t="shared" si="0"/>
        <v>1966</v>
      </c>
      <c r="F44" s="16"/>
    </row>
    <row r="45" spans="2:6" ht="12.75">
      <c r="B45" s="13">
        <f t="shared" si="1"/>
        <v>1994</v>
      </c>
      <c r="C45" s="16"/>
      <c r="E45" s="13">
        <f t="shared" si="0"/>
        <v>1965</v>
      </c>
      <c r="F45" s="16"/>
    </row>
    <row r="46" spans="2:6" ht="12.75">
      <c r="B46" s="13">
        <f t="shared" si="1"/>
        <v>1993</v>
      </c>
      <c r="C46" s="16"/>
      <c r="E46" s="13">
        <f t="shared" si="0"/>
        <v>1964</v>
      </c>
      <c r="F46" s="16"/>
    </row>
    <row r="47" spans="2:6" ht="12.75">
      <c r="B47" s="13">
        <f t="shared" si="1"/>
        <v>1992</v>
      </c>
      <c r="C47" s="16"/>
      <c r="E47" s="13">
        <f t="shared" si="0"/>
        <v>1963</v>
      </c>
      <c r="F47" s="16"/>
    </row>
    <row r="48" spans="2:6" ht="12.75">
      <c r="B48" s="13">
        <f t="shared" si="1"/>
        <v>1991</v>
      </c>
      <c r="C48" s="16"/>
      <c r="E48" s="13">
        <f t="shared" si="0"/>
        <v>1962</v>
      </c>
      <c r="F48" s="16"/>
    </row>
    <row r="49" spans="2:6" ht="12.75">
      <c r="B49" s="13">
        <f t="shared" si="1"/>
        <v>1990</v>
      </c>
      <c r="C49" s="16"/>
      <c r="E49" s="13">
        <f t="shared" si="0"/>
        <v>1961</v>
      </c>
      <c r="F49" s="16"/>
    </row>
    <row r="50" spans="2:3" ht="12.75">
      <c r="B50" s="13">
        <f t="shared" si="1"/>
        <v>1989</v>
      </c>
      <c r="C50" s="16"/>
    </row>
    <row r="51" spans="2:3" ht="12.75">
      <c r="B51" s="13">
        <f t="shared" si="1"/>
        <v>1988</v>
      </c>
      <c r="C51" s="16"/>
    </row>
    <row r="52" ht="7.5" customHeight="1"/>
  </sheetData>
  <sheetProtection/>
  <mergeCells count="1">
    <mergeCell ref="A1:L1"/>
  </mergeCells>
  <conditionalFormatting sqref="F23:F49 C23:C51">
    <cfRule type="cellIs" priority="1" dxfId="2" operator="greaterThan" stopIfTrue="1">
      <formula>""""""</formula>
    </cfRule>
    <cfRule type="cellIs" priority="2" dxfId="2" operator="greaterThanOrEqual" stopIfTrue="1">
      <formula>0</formula>
    </cfRule>
  </conditionalFormatting>
  <dataValidations count="1">
    <dataValidation type="decimal" allowBlank="1" showInputMessage="1" showErrorMessage="1" promptTitle="Input Service" prompt="Enter value from 0 to 1" errorTitle="Invalid Service" error="Please enter a value between 0 and 1" sqref="F23:F49 C23:C51">
      <formula1>0</formula1>
      <formula2>1</formula2>
    </dataValidation>
  </dataValidations>
  <printOptions/>
  <pageMargins left="0.5" right="0.5" top="0.5" bottom="0.5" header="0.5118055555555555" footer="0.5118055555555555"/>
  <pageSetup fitToHeight="1" fitToWidth="1"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S173"/>
  <sheetViews>
    <sheetView zoomScale="80" zoomScaleNormal="80" zoomScalePageLayoutView="0" workbookViewId="0" topLeftCell="A1">
      <selection activeCell="A20" sqref="A20:M20"/>
    </sheetView>
  </sheetViews>
  <sheetFormatPr defaultColWidth="8.8515625" defaultRowHeight="12.75"/>
  <cols>
    <col min="1" max="1" width="12.421875" style="25" customWidth="1"/>
    <col min="2" max="2" width="19.140625" style="25" customWidth="1"/>
    <col min="3" max="3" width="8.8515625" style="25" customWidth="1"/>
    <col min="4" max="4" width="12.57421875" style="25" customWidth="1"/>
    <col min="5" max="5" width="10.7109375" style="25" customWidth="1"/>
    <col min="6" max="6" width="14.00390625" style="25" customWidth="1"/>
    <col min="7" max="7" width="10.00390625" style="25" customWidth="1"/>
    <col min="8" max="8" width="14.57421875" style="25" customWidth="1"/>
    <col min="9" max="9" width="2.8515625" style="25" customWidth="1"/>
    <col min="10" max="10" width="31.57421875" style="25" customWidth="1"/>
    <col min="11" max="11" width="11.421875" style="25" customWidth="1"/>
    <col min="12" max="12" width="13.57421875" style="25" customWidth="1"/>
    <col min="13" max="13" width="10.28125" style="69" customWidth="1"/>
    <col min="14" max="14" width="9.140625" style="23" customWidth="1"/>
    <col min="15" max="16" width="9.140625" style="24" customWidth="1"/>
    <col min="17" max="17" width="9.140625" style="23" customWidth="1"/>
    <col min="18" max="18" width="7.57421875" style="23" customWidth="1"/>
    <col min="19" max="19" width="10.28125" style="25" customWidth="1"/>
    <col min="20" max="16384" width="8.8515625" style="25" customWidth="1"/>
  </cols>
  <sheetData>
    <row r="3" spans="1:13" ht="15.75">
      <c r="A3" s="124" t="str">
        <f>"403(b) TAX SHELTERED ANNUITY MAXIMUM CONTRIBUTION WORKSHEET – "&amp;Yr&amp;" TAX YEAR"</f>
        <v>403(b) TAX SHELTERED ANNUITY MAXIMUM CONTRIBUTION WORKSHEET – 2016 TAX YEAR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.75">
      <c r="A4" s="124" t="s">
        <v>31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6" spans="1:13" ht="12.75" customHeight="1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ht="12.75" customHeight="1">
      <c r="A7" s="26" t="s">
        <v>33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 customHeight="1">
      <c r="A8" s="26" t="s">
        <v>34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ht="12.75">
      <c r="A10" s="32" t="s">
        <v>35</v>
      </c>
      <c r="B10" s="33"/>
      <c r="C10" s="33"/>
      <c r="D10" s="33"/>
      <c r="E10" s="32" t="s">
        <v>36</v>
      </c>
      <c r="F10" s="33"/>
      <c r="G10" s="34"/>
      <c r="H10" s="32" t="s">
        <v>37</v>
      </c>
      <c r="I10" s="35"/>
      <c r="J10" s="32" t="s">
        <v>38</v>
      </c>
      <c r="K10" s="33"/>
      <c r="L10" s="33"/>
      <c r="M10" s="36"/>
    </row>
    <row r="11" spans="1:13" ht="18.75">
      <c r="A11" s="37" t="str">
        <f>"   "&amp;'Data Entry'!E7&amp;", "&amp;'Data Entry'!B7&amp;" "&amp;'Data Entry'!G7</f>
        <v>   ,  </v>
      </c>
      <c r="B11" s="38"/>
      <c r="C11" s="38"/>
      <c r="D11" s="38"/>
      <c r="E11" s="37" t="str">
        <f>"   "&amp;TEXT('Data Entry'!B9,"000-00-0000")</f>
        <v>   000-00-0000</v>
      </c>
      <c r="F11" s="38"/>
      <c r="G11" s="39"/>
      <c r="H11" s="40">
        <f>IF(ISBLANK(DOB),"","   "&amp;TEXT(DOB,"0000"))</f>
      </c>
      <c r="I11" s="41"/>
      <c r="J11" s="42" t="str">
        <f>"      "&amp;phone&amp;"      "&amp;EMAIL</f>
        <v>            </v>
      </c>
      <c r="K11" s="38"/>
      <c r="L11" s="38"/>
      <c r="M11" s="43"/>
    </row>
    <row r="12" spans="1:13" ht="7.5" customHeight="1">
      <c r="A12" s="44"/>
      <c r="B12" s="45"/>
      <c r="C12" s="45"/>
      <c r="D12" s="45"/>
      <c r="E12" s="46"/>
      <c r="F12" s="45"/>
      <c r="G12" s="47"/>
      <c r="H12" s="46"/>
      <c r="I12" s="48"/>
      <c r="J12" s="49"/>
      <c r="K12" s="45"/>
      <c r="L12" s="45"/>
      <c r="M12" s="50"/>
    </row>
    <row r="13" spans="1:13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12.75" customHeight="1">
      <c r="A14" s="51" t="s">
        <v>39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2.75" customHeight="1">
      <c r="A15" s="51" t="str">
        <f>"§415(c) and §402(g).  For "&amp;Yr&amp;", the §402(g) limit is "&amp;DOLLAR(Limit402g,0)&amp;"; the §415(c) limit is 100% of compensation (up to "&amp;DOLLAR(Limit415,0)&amp;").  The §402(g) limit is an annual"</f>
        <v>§415(c) and §402(g).  For 2016, the §402(g) limit is $18,000; the §415(c) limit is 100% of compensation (up to $53,000).  The §402(g) limit is an annual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2.75" customHeight="1">
      <c r="A16" s="51" t="s">
        <v>40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2.75" customHeight="1">
      <c r="A17" s="51" t="s">
        <v>41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12.75">
      <c r="A19" s="53" t="s">
        <v>42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3" ht="33" customHeight="1">
      <c r="A20" s="125" t="s">
        <v>43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5.75" customHeight="1">
      <c r="A22" s="54" t="s">
        <v>44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12.75">
      <c r="A23" s="55" t="s">
        <v>45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2.75">
      <c r="A24" s="55" t="str">
        <f>"§402(g) and §402(g)(7) (if eligible), you are eligible to defer an additional "&amp;DOLLAR(CatchUp,0)&amp;" to the amount shown in Step 9.  You must confirm that your date of birth"</f>
        <v>§402(g) and §402(g)(7) (if eligible), you are eligible to defer an additional $6,000 to the amount shown in Step 9.  You must confirm that your date of birth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2.75">
      <c r="A25" s="55" t="str">
        <f>"is December 31, "&amp;Yr-50&amp;" or earlier. Age-50 catch-up contributions to a §403(b) or §401(k) plan do not count against the age-50 catch-up contributions"</f>
        <v>is December 31, 1966 or earlier. Age-50 catch-up contributions to a §403(b) or §401(k) plan do not count against the age-50 catch-up contributions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2.75">
      <c r="A26" s="55" t="s">
        <v>46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2.75">
      <c r="A27" s="5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</row>
    <row r="28" spans="1:13" ht="12.75">
      <c r="A28" s="57" t="s">
        <v>47</v>
      </c>
      <c r="B28" s="58" t="s">
        <v>48</v>
      </c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3" ht="15" customHeight="1">
      <c r="A29" s="30"/>
      <c r="B29" s="126" t="s">
        <v>49</v>
      </c>
      <c r="C29" s="126"/>
      <c r="D29" s="126"/>
      <c r="E29" s="126"/>
      <c r="F29" s="126"/>
      <c r="G29" s="126"/>
      <c r="H29" s="126"/>
      <c r="I29" s="30"/>
      <c r="J29" s="30"/>
      <c r="K29" s="30"/>
      <c r="L29" s="59">
        <f>Service</f>
        <v>0</v>
      </c>
      <c r="M29" s="31" t="s">
        <v>50</v>
      </c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3" ht="15" customHeight="1">
      <c r="A31" s="60" t="s">
        <v>51</v>
      </c>
      <c r="B31" s="61" t="str">
        <f>"Enter your maximum "&amp;Yr&amp;" §403(b) contribution under the §415(c) limit:  the lesser of the 100% of compensation"</f>
        <v>Enter your maximum 2016 §403(b) contribution under the §415(c) limit:  the lesser of the 100% of compensation</v>
      </c>
      <c r="C31" s="62"/>
      <c r="D31" s="62"/>
      <c r="E31" s="62"/>
      <c r="F31" s="62"/>
      <c r="G31" s="62"/>
      <c r="H31" s="62"/>
      <c r="I31" s="62"/>
      <c r="J31" s="62"/>
      <c r="K31" s="30"/>
      <c r="L31" s="63"/>
      <c r="M31" s="31"/>
    </row>
    <row r="32" spans="1:13" ht="15" customHeight="1">
      <c r="A32" s="60"/>
      <c r="B32" s="61" t="str">
        <f>"or "&amp;DOLLAR(Limit415,0)&amp;".  (Compensation for the percentage calculation is taxable income plus pre-tax employee"</f>
        <v>or $53,000.  (Compensation for the percentage calculation is taxable income plus pre-tax employee</v>
      </c>
      <c r="C32" s="62"/>
      <c r="D32" s="62"/>
      <c r="E32" s="62"/>
      <c r="F32" s="62"/>
      <c r="G32" s="62"/>
      <c r="H32" s="62"/>
      <c r="I32" s="62"/>
      <c r="J32" s="62"/>
      <c r="K32" s="30"/>
      <c r="L32" s="63"/>
      <c r="M32" s="31"/>
    </row>
    <row r="33" spans="1:13" ht="15" customHeight="1">
      <c r="A33" s="60"/>
      <c r="B33" s="61" t="s">
        <v>52</v>
      </c>
      <c r="C33" s="62"/>
      <c r="D33" s="62"/>
      <c r="E33" s="62"/>
      <c r="F33" s="62"/>
      <c r="G33" s="62"/>
      <c r="H33" s="62"/>
      <c r="I33" s="62"/>
      <c r="J33" s="62"/>
      <c r="K33" s="30"/>
      <c r="L33" s="63"/>
      <c r="M33" s="31"/>
    </row>
    <row r="34" spans="1:13" ht="15" customHeight="1">
      <c r="A34" s="60"/>
      <c r="B34" s="61" t="s">
        <v>53</v>
      </c>
      <c r="C34" s="62"/>
      <c r="D34" s="62"/>
      <c r="E34" s="62"/>
      <c r="F34" s="62"/>
      <c r="G34" s="62"/>
      <c r="H34" s="62"/>
      <c r="I34" s="62"/>
      <c r="J34" s="62"/>
      <c r="K34" s="30"/>
      <c r="L34" s="63"/>
      <c r="M34" s="31"/>
    </row>
    <row r="35" spans="1:13" ht="15" customHeight="1">
      <c r="A35" s="60"/>
      <c r="B35" s="61" t="s">
        <v>54</v>
      </c>
      <c r="C35" s="62"/>
      <c r="D35" s="62"/>
      <c r="E35" s="62"/>
      <c r="F35" s="62"/>
      <c r="G35" s="62"/>
      <c r="H35" s="62"/>
      <c r="I35" s="62"/>
      <c r="J35" s="62"/>
      <c r="K35" s="30"/>
      <c r="L35" s="64">
        <f>MIN(Limit415,COMP)</f>
        <v>53000</v>
      </c>
      <c r="M35" s="31" t="s">
        <v>55</v>
      </c>
    </row>
    <row r="36" spans="1:13" ht="15" customHeight="1">
      <c r="A36" s="60"/>
      <c r="B36" s="65"/>
      <c r="C36" s="62"/>
      <c r="D36" s="62"/>
      <c r="E36" s="62"/>
      <c r="F36" s="62"/>
      <c r="G36" s="62"/>
      <c r="H36" s="62"/>
      <c r="I36" s="62"/>
      <c r="J36" s="62"/>
      <c r="K36" s="30"/>
      <c r="L36" s="63"/>
      <c r="M36" s="31"/>
    </row>
    <row r="37" spans="1:13" ht="12.75">
      <c r="A37" s="57" t="s">
        <v>56</v>
      </c>
      <c r="B37" s="30" t="s">
        <v>57</v>
      </c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ht="9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</row>
    <row r="39" spans="1:13" ht="12.75">
      <c r="A39" s="30"/>
      <c r="B39" s="66" t="s">
        <v>58</v>
      </c>
      <c r="C39" s="30"/>
      <c r="D39" s="66" t="s">
        <v>59</v>
      </c>
      <c r="E39" s="30"/>
      <c r="F39" s="66" t="s">
        <v>60</v>
      </c>
      <c r="G39" s="30"/>
      <c r="H39" s="66" t="s">
        <v>61</v>
      </c>
      <c r="J39" s="66" t="s">
        <v>62</v>
      </c>
      <c r="K39" s="66" t="s">
        <v>63</v>
      </c>
      <c r="L39" s="66" t="s">
        <v>64</v>
      </c>
      <c r="M39" s="31"/>
    </row>
    <row r="40" spans="1:19" ht="48">
      <c r="A40" s="30"/>
      <c r="B40" s="66" t="s">
        <v>15</v>
      </c>
      <c r="C40" s="30"/>
      <c r="D40" s="66" t="s">
        <v>65</v>
      </c>
      <c r="E40" s="30"/>
      <c r="F40" s="66" t="s">
        <v>66</v>
      </c>
      <c r="G40" s="30"/>
      <c r="H40" s="67" t="s">
        <v>67</v>
      </c>
      <c r="J40" s="67" t="s">
        <v>68</v>
      </c>
      <c r="K40" s="68" t="s">
        <v>69</v>
      </c>
      <c r="L40" s="68" t="s">
        <v>70</v>
      </c>
      <c r="O40" s="70" t="s">
        <v>71</v>
      </c>
      <c r="P40" s="70" t="s">
        <v>30</v>
      </c>
      <c r="R40" s="71"/>
      <c r="S40" s="72"/>
    </row>
    <row r="41" spans="1:19" ht="3.75" customHeight="1">
      <c r="A41" s="30"/>
      <c r="B41" s="66"/>
      <c r="C41" s="30"/>
      <c r="D41" s="66"/>
      <c r="E41" s="30"/>
      <c r="F41" s="66"/>
      <c r="G41" s="30"/>
      <c r="H41" s="66"/>
      <c r="O41" s="70"/>
      <c r="P41" s="70"/>
      <c r="R41" s="71"/>
      <c r="S41" s="73"/>
    </row>
    <row r="42" spans="1:16" ht="12.75">
      <c r="A42" s="30"/>
      <c r="B42" s="66">
        <v>1987</v>
      </c>
      <c r="C42" s="30"/>
      <c r="D42" s="74">
        <f>'Data Entry'!B31</f>
        <v>0</v>
      </c>
      <c r="E42" s="66" t="s">
        <v>72</v>
      </c>
      <c r="F42" s="75">
        <v>9500</v>
      </c>
      <c r="G42" s="66" t="s">
        <v>73</v>
      </c>
      <c r="H42" s="74">
        <f aca="true" t="shared" si="0" ref="H42:H67">MAX(0,D42-F42)</f>
        <v>0</v>
      </c>
      <c r="J42" s="16">
        <f>IF(P42&gt;=15,1,0)*MIN(H42,3000)</f>
        <v>0</v>
      </c>
      <c r="K42" s="76">
        <v>0</v>
      </c>
      <c r="L42" s="77">
        <f aca="true" t="shared" si="1" ref="L42:L67">H42-J42-K42</f>
        <v>0</v>
      </c>
      <c r="M42" s="78"/>
      <c r="O42" s="70">
        <f aca="true" t="shared" si="2" ref="O42:O67">B42-DOB</f>
        <v>1987</v>
      </c>
      <c r="P42" s="79">
        <f>P43-VLOOKUP(B42+1,'Years of Service'!$B$24:$C$51,2,FALSE)</f>
        <v>0</v>
      </c>
    </row>
    <row r="43" spans="1:16" ht="12.75">
      <c r="A43" s="30"/>
      <c r="B43" s="66">
        <f aca="true" t="shared" si="3" ref="B43:B70">1+B42</f>
        <v>1988</v>
      </c>
      <c r="C43" s="30"/>
      <c r="D43" s="74">
        <f>'Data Entry'!B32</f>
        <v>0</v>
      </c>
      <c r="E43" s="66" t="s">
        <v>72</v>
      </c>
      <c r="F43" s="75">
        <v>9500</v>
      </c>
      <c r="G43" s="66" t="s">
        <v>73</v>
      </c>
      <c r="H43" s="74">
        <f t="shared" si="0"/>
        <v>0</v>
      </c>
      <c r="J43" s="16">
        <f>IF(P43&gt;=15,1,0)*MIN(15000-SUM($J$42:J42),MIN(H43,3000))</f>
        <v>0</v>
      </c>
      <c r="K43" s="76">
        <v>0</v>
      </c>
      <c r="L43" s="77">
        <f t="shared" si="1"/>
        <v>0</v>
      </c>
      <c r="M43" s="78"/>
      <c r="O43" s="70">
        <f t="shared" si="2"/>
        <v>1988</v>
      </c>
      <c r="P43" s="79">
        <f>P44-VLOOKUP(B43+1,'Years of Service'!$B$24:$C$51,2,FALSE)</f>
        <v>0</v>
      </c>
    </row>
    <row r="44" spans="1:16" ht="12.75">
      <c r="A44" s="30"/>
      <c r="B44" s="66">
        <f t="shared" si="3"/>
        <v>1989</v>
      </c>
      <c r="C44" s="30"/>
      <c r="D44" s="74">
        <f>'Data Entry'!B33</f>
        <v>0</v>
      </c>
      <c r="E44" s="66" t="s">
        <v>72</v>
      </c>
      <c r="F44" s="75">
        <v>9500</v>
      </c>
      <c r="G44" s="66" t="s">
        <v>73</v>
      </c>
      <c r="H44" s="74">
        <f t="shared" si="0"/>
        <v>0</v>
      </c>
      <c r="J44" s="16">
        <f>IF(P44&gt;=15,1,0)*MIN(15000-SUM($J$42:J43),MIN(H44,3000))</f>
        <v>0</v>
      </c>
      <c r="K44" s="76">
        <v>0</v>
      </c>
      <c r="L44" s="77">
        <f t="shared" si="1"/>
        <v>0</v>
      </c>
      <c r="M44" s="78"/>
      <c r="O44" s="70">
        <f t="shared" si="2"/>
        <v>1989</v>
      </c>
      <c r="P44" s="79">
        <f>P45-VLOOKUP(B44+1,'Years of Service'!$B$24:$C$51,2,FALSE)</f>
        <v>0</v>
      </c>
    </row>
    <row r="45" spans="1:16" ht="12.75">
      <c r="A45" s="30"/>
      <c r="B45" s="66">
        <f t="shared" si="3"/>
        <v>1990</v>
      </c>
      <c r="C45" s="30"/>
      <c r="D45" s="74">
        <f>'Data Entry'!B34</f>
        <v>0</v>
      </c>
      <c r="E45" s="66" t="s">
        <v>72</v>
      </c>
      <c r="F45" s="75">
        <v>9500</v>
      </c>
      <c r="G45" s="66" t="s">
        <v>73</v>
      </c>
      <c r="H45" s="74">
        <f t="shared" si="0"/>
        <v>0</v>
      </c>
      <c r="J45" s="16">
        <f>IF(P45&gt;=15,1,0)*MIN(15000-SUM($J$42:J44),MIN(H45,3000))</f>
        <v>0</v>
      </c>
      <c r="K45" s="76">
        <v>0</v>
      </c>
      <c r="L45" s="77">
        <f t="shared" si="1"/>
        <v>0</v>
      </c>
      <c r="M45" s="78"/>
      <c r="O45" s="70">
        <f t="shared" si="2"/>
        <v>1990</v>
      </c>
      <c r="P45" s="79">
        <f>P46-VLOOKUP(B45+1,'Years of Service'!$B$24:$C$51,2,FALSE)</f>
        <v>0</v>
      </c>
    </row>
    <row r="46" spans="1:16" ht="12.75">
      <c r="A46" s="30"/>
      <c r="B46" s="66">
        <f t="shared" si="3"/>
        <v>1991</v>
      </c>
      <c r="C46" s="30"/>
      <c r="D46" s="74">
        <f>'Data Entry'!B35</f>
        <v>0</v>
      </c>
      <c r="E46" s="66" t="s">
        <v>72</v>
      </c>
      <c r="F46" s="75">
        <v>9500</v>
      </c>
      <c r="G46" s="66" t="s">
        <v>73</v>
      </c>
      <c r="H46" s="74">
        <f t="shared" si="0"/>
        <v>0</v>
      </c>
      <c r="J46" s="16">
        <f>IF(P46&gt;=15,1,0)*MIN(15000-SUM($J$42:J45),MIN(H46,3000))</f>
        <v>0</v>
      </c>
      <c r="K46" s="76">
        <v>0</v>
      </c>
      <c r="L46" s="77">
        <f t="shared" si="1"/>
        <v>0</v>
      </c>
      <c r="M46" s="78"/>
      <c r="O46" s="70">
        <f t="shared" si="2"/>
        <v>1991</v>
      </c>
      <c r="P46" s="79">
        <f>P47-VLOOKUP(B46+1,'Years of Service'!$B$24:$C$51,2,FALSE)</f>
        <v>0</v>
      </c>
    </row>
    <row r="47" spans="1:16" ht="12.75">
      <c r="A47" s="30"/>
      <c r="B47" s="66">
        <f t="shared" si="3"/>
        <v>1992</v>
      </c>
      <c r="C47" s="30"/>
      <c r="D47" s="74">
        <f>'Data Entry'!B36</f>
        <v>0</v>
      </c>
      <c r="E47" s="66" t="s">
        <v>72</v>
      </c>
      <c r="F47" s="75">
        <v>9500</v>
      </c>
      <c r="G47" s="66" t="s">
        <v>73</v>
      </c>
      <c r="H47" s="74">
        <f t="shared" si="0"/>
        <v>0</v>
      </c>
      <c r="J47" s="16">
        <f>IF(P47&gt;=15,1,0)*MIN(15000-SUM($J$42:J46),MIN(H47,3000))</f>
        <v>0</v>
      </c>
      <c r="K47" s="76">
        <v>0</v>
      </c>
      <c r="L47" s="77">
        <f t="shared" si="1"/>
        <v>0</v>
      </c>
      <c r="M47" s="78"/>
      <c r="O47" s="70">
        <f t="shared" si="2"/>
        <v>1992</v>
      </c>
      <c r="P47" s="79">
        <f>P48-VLOOKUP(B47+1,'Years of Service'!$B$24:$C$51,2,FALSE)</f>
        <v>0</v>
      </c>
    </row>
    <row r="48" spans="1:16" ht="12.75">
      <c r="A48" s="30"/>
      <c r="B48" s="66">
        <f t="shared" si="3"/>
        <v>1993</v>
      </c>
      <c r="C48" s="30"/>
      <c r="D48" s="74">
        <f>'Data Entry'!B37</f>
        <v>0</v>
      </c>
      <c r="E48" s="66" t="s">
        <v>72</v>
      </c>
      <c r="F48" s="75">
        <v>9500</v>
      </c>
      <c r="G48" s="66" t="s">
        <v>73</v>
      </c>
      <c r="H48" s="74">
        <f t="shared" si="0"/>
        <v>0</v>
      </c>
      <c r="J48" s="16">
        <f>IF(P48&gt;=15,1,0)*MIN(15000-SUM($J$42:J47),MIN(H48,3000))</f>
        <v>0</v>
      </c>
      <c r="K48" s="76">
        <v>0</v>
      </c>
      <c r="L48" s="77">
        <f t="shared" si="1"/>
        <v>0</v>
      </c>
      <c r="M48" s="78"/>
      <c r="O48" s="70">
        <f t="shared" si="2"/>
        <v>1993</v>
      </c>
      <c r="P48" s="79">
        <f>P49-VLOOKUP(B48+1,'Years of Service'!$B$24:$C$51,2,FALSE)</f>
        <v>0</v>
      </c>
    </row>
    <row r="49" spans="1:16" ht="12.75">
      <c r="A49" s="30"/>
      <c r="B49" s="66">
        <f t="shared" si="3"/>
        <v>1994</v>
      </c>
      <c r="C49" s="30"/>
      <c r="D49" s="74">
        <f>'Data Entry'!B38</f>
        <v>0</v>
      </c>
      <c r="E49" s="66" t="s">
        <v>72</v>
      </c>
      <c r="F49" s="75">
        <v>9500</v>
      </c>
      <c r="G49" s="66" t="s">
        <v>73</v>
      </c>
      <c r="H49" s="74">
        <f t="shared" si="0"/>
        <v>0</v>
      </c>
      <c r="J49" s="16">
        <f>IF(P49&gt;=15,1,0)*MIN(15000-SUM($J$42:J48),MIN(H49,3000))</f>
        <v>0</v>
      </c>
      <c r="K49" s="76">
        <v>0</v>
      </c>
      <c r="L49" s="77">
        <f t="shared" si="1"/>
        <v>0</v>
      </c>
      <c r="M49" s="78"/>
      <c r="O49" s="70">
        <f t="shared" si="2"/>
        <v>1994</v>
      </c>
      <c r="P49" s="79">
        <f>P50-VLOOKUP(B49+1,'Years of Service'!$B$24:$C$51,2,FALSE)</f>
        <v>0</v>
      </c>
    </row>
    <row r="50" spans="1:16" ht="12.75">
      <c r="A50" s="30"/>
      <c r="B50" s="66">
        <f t="shared" si="3"/>
        <v>1995</v>
      </c>
      <c r="C50" s="30"/>
      <c r="D50" s="74">
        <f>'Data Entry'!B39</f>
        <v>0</v>
      </c>
      <c r="E50" s="66" t="s">
        <v>72</v>
      </c>
      <c r="F50" s="75">
        <v>9500</v>
      </c>
      <c r="G50" s="66" t="s">
        <v>73</v>
      </c>
      <c r="H50" s="74">
        <f t="shared" si="0"/>
        <v>0</v>
      </c>
      <c r="J50" s="16">
        <f>IF(P50&gt;=15,1,0)*MIN(15000-SUM($J$42:J49),MIN(H50,3000))</f>
        <v>0</v>
      </c>
      <c r="K50" s="76">
        <v>0</v>
      </c>
      <c r="L50" s="77">
        <f t="shared" si="1"/>
        <v>0</v>
      </c>
      <c r="M50" s="78"/>
      <c r="O50" s="70">
        <f t="shared" si="2"/>
        <v>1995</v>
      </c>
      <c r="P50" s="79">
        <f>P51-VLOOKUP(B50+1,'Years of Service'!$B$24:$C$51,2,FALSE)</f>
        <v>0</v>
      </c>
    </row>
    <row r="51" spans="1:16" ht="12.75">
      <c r="A51" s="30"/>
      <c r="B51" s="66">
        <f t="shared" si="3"/>
        <v>1996</v>
      </c>
      <c r="C51" s="30"/>
      <c r="D51" s="74">
        <f>'Data Entry'!B40</f>
        <v>0</v>
      </c>
      <c r="E51" s="66" t="s">
        <v>72</v>
      </c>
      <c r="F51" s="75">
        <v>9500</v>
      </c>
      <c r="G51" s="66" t="s">
        <v>73</v>
      </c>
      <c r="H51" s="74">
        <f t="shared" si="0"/>
        <v>0</v>
      </c>
      <c r="J51" s="16">
        <f>IF(P51&gt;=15,1,0)*MIN(15000-SUM($J$42:J50),MIN(H51,3000))</f>
        <v>0</v>
      </c>
      <c r="K51" s="76">
        <v>0</v>
      </c>
      <c r="L51" s="77">
        <f t="shared" si="1"/>
        <v>0</v>
      </c>
      <c r="M51" s="78"/>
      <c r="O51" s="70">
        <f t="shared" si="2"/>
        <v>1996</v>
      </c>
      <c r="P51" s="79">
        <f>P52-VLOOKUP(B51+1,'Years of Service'!$B$24:$C$51,2,FALSE)</f>
        <v>0</v>
      </c>
    </row>
    <row r="52" spans="1:16" ht="12.75">
      <c r="A52" s="30"/>
      <c r="B52" s="66">
        <f t="shared" si="3"/>
        <v>1997</v>
      </c>
      <c r="C52" s="30"/>
      <c r="D52" s="74">
        <f>'Data Entry'!B41</f>
        <v>0</v>
      </c>
      <c r="E52" s="66" t="s">
        <v>72</v>
      </c>
      <c r="F52" s="75">
        <v>9500</v>
      </c>
      <c r="G52" s="66" t="s">
        <v>73</v>
      </c>
      <c r="H52" s="74">
        <f t="shared" si="0"/>
        <v>0</v>
      </c>
      <c r="J52" s="16">
        <f>IF(P52&gt;=15,1,0)*MIN(15000-SUM($J$42:J51),MIN(H52,3000))</f>
        <v>0</v>
      </c>
      <c r="K52" s="76">
        <v>0</v>
      </c>
      <c r="L52" s="77">
        <f t="shared" si="1"/>
        <v>0</v>
      </c>
      <c r="M52" s="78"/>
      <c r="O52" s="70">
        <f t="shared" si="2"/>
        <v>1997</v>
      </c>
      <c r="P52" s="79">
        <f>P53-VLOOKUP(B52+1,'Years of Service'!$B$24:$C$51,2,FALSE)</f>
        <v>0</v>
      </c>
    </row>
    <row r="53" spans="1:16" ht="12.75">
      <c r="A53" s="30"/>
      <c r="B53" s="66">
        <f t="shared" si="3"/>
        <v>1998</v>
      </c>
      <c r="C53" s="30"/>
      <c r="D53" s="74">
        <f>'Data Entry'!B42</f>
        <v>0</v>
      </c>
      <c r="E53" s="66" t="s">
        <v>72</v>
      </c>
      <c r="F53" s="75">
        <v>10000</v>
      </c>
      <c r="G53" s="66" t="s">
        <v>73</v>
      </c>
      <c r="H53" s="74">
        <f t="shared" si="0"/>
        <v>0</v>
      </c>
      <c r="J53" s="16">
        <f>IF(P53&gt;=15,1,0)*MIN(15000-SUM($J$42:J52),MIN(H53,3000))</f>
        <v>0</v>
      </c>
      <c r="K53" s="76">
        <v>0</v>
      </c>
      <c r="L53" s="77">
        <f t="shared" si="1"/>
        <v>0</v>
      </c>
      <c r="M53" s="78"/>
      <c r="O53" s="70">
        <f t="shared" si="2"/>
        <v>1998</v>
      </c>
      <c r="P53" s="79">
        <f>P54-VLOOKUP(B53+1,'Years of Service'!$B$24:$C$51,2,FALSE)</f>
        <v>0</v>
      </c>
    </row>
    <row r="54" spans="1:16" ht="12.75">
      <c r="A54" s="30"/>
      <c r="B54" s="66">
        <f t="shared" si="3"/>
        <v>1999</v>
      </c>
      <c r="C54" s="30"/>
      <c r="D54" s="74">
        <f>'Data Entry'!B43</f>
        <v>0</v>
      </c>
      <c r="E54" s="66" t="s">
        <v>72</v>
      </c>
      <c r="F54" s="75">
        <v>10000</v>
      </c>
      <c r="G54" s="66" t="s">
        <v>73</v>
      </c>
      <c r="H54" s="74">
        <f t="shared" si="0"/>
        <v>0</v>
      </c>
      <c r="J54" s="16">
        <f>IF(P54&gt;=15,1,0)*MIN(15000-SUM($J$42:J53),MIN(H54,3000))</f>
        <v>0</v>
      </c>
      <c r="K54" s="76">
        <v>0</v>
      </c>
      <c r="L54" s="77">
        <f t="shared" si="1"/>
        <v>0</v>
      </c>
      <c r="M54" s="78"/>
      <c r="O54" s="70">
        <f t="shared" si="2"/>
        <v>1999</v>
      </c>
      <c r="P54" s="79">
        <f>P55-VLOOKUP(B54+1,'Years of Service'!$B$24:$C$51,2,FALSE)</f>
        <v>0</v>
      </c>
    </row>
    <row r="55" spans="1:16" ht="12.75">
      <c r="A55" s="30"/>
      <c r="B55" s="66">
        <f t="shared" si="3"/>
        <v>2000</v>
      </c>
      <c r="C55" s="30"/>
      <c r="D55" s="74">
        <f>'Data Entry'!B44</f>
        <v>0</v>
      </c>
      <c r="E55" s="66" t="s">
        <v>72</v>
      </c>
      <c r="F55" s="75">
        <v>10500</v>
      </c>
      <c r="G55" s="66" t="s">
        <v>73</v>
      </c>
      <c r="H55" s="74">
        <f t="shared" si="0"/>
        <v>0</v>
      </c>
      <c r="J55" s="16">
        <f>IF(P55&gt;=15,1,0)*MIN(15000-SUM($J$42:J54),MIN(H55,3000))</f>
        <v>0</v>
      </c>
      <c r="K55" s="76">
        <v>0</v>
      </c>
      <c r="L55" s="77">
        <f t="shared" si="1"/>
        <v>0</v>
      </c>
      <c r="M55" s="78"/>
      <c r="O55" s="70">
        <f t="shared" si="2"/>
        <v>2000</v>
      </c>
      <c r="P55" s="79">
        <f>P56-VLOOKUP(B55+1,'Years of Service'!$B$24:$C$51,2,FALSE)</f>
        <v>0</v>
      </c>
    </row>
    <row r="56" spans="1:16" ht="12.75">
      <c r="A56" s="30"/>
      <c r="B56" s="66">
        <f t="shared" si="3"/>
        <v>2001</v>
      </c>
      <c r="C56" s="30"/>
      <c r="D56" s="74">
        <f>'Data Entry'!B45</f>
        <v>0</v>
      </c>
      <c r="E56" s="66" t="s">
        <v>72</v>
      </c>
      <c r="F56" s="75">
        <v>10500</v>
      </c>
      <c r="G56" s="66" t="s">
        <v>73</v>
      </c>
      <c r="H56" s="74">
        <f t="shared" si="0"/>
        <v>0</v>
      </c>
      <c r="J56" s="16">
        <f>IF(P56&gt;=15,1,0)*MIN(15000-SUM($J$42:J55),MIN(H56,3000))</f>
        <v>0</v>
      </c>
      <c r="K56" s="76">
        <v>0</v>
      </c>
      <c r="L56" s="77">
        <f t="shared" si="1"/>
        <v>0</v>
      </c>
      <c r="M56" s="78"/>
      <c r="O56" s="70">
        <f t="shared" si="2"/>
        <v>2001</v>
      </c>
      <c r="P56" s="79">
        <f>P57-VLOOKUP(B56+1,'Years of Service'!$B$24:$C$51,2,FALSE)</f>
        <v>0</v>
      </c>
    </row>
    <row r="57" spans="1:16" ht="12.75">
      <c r="A57" s="30"/>
      <c r="B57" s="66">
        <f t="shared" si="3"/>
        <v>2002</v>
      </c>
      <c r="C57" s="30"/>
      <c r="D57" s="74">
        <f>'Data Entry'!B46</f>
        <v>0</v>
      </c>
      <c r="E57" s="66" t="s">
        <v>72</v>
      </c>
      <c r="F57" s="75">
        <v>11000</v>
      </c>
      <c r="G57" s="66" t="s">
        <v>73</v>
      </c>
      <c r="H57" s="74">
        <f t="shared" si="0"/>
        <v>0</v>
      </c>
      <c r="J57" s="16">
        <f>IF(P57&gt;=15,1,0)*MIN(15000-SUM($J$42:J56),MIN(H57,3000))</f>
        <v>0</v>
      </c>
      <c r="K57" s="76">
        <f>IF(O57&gt;=50,1,0)*MIN(H57-J57,1000)</f>
        <v>0</v>
      </c>
      <c r="L57" s="77">
        <f t="shared" si="1"/>
        <v>0</v>
      </c>
      <c r="M57" s="78"/>
      <c r="O57" s="70">
        <f t="shared" si="2"/>
        <v>2002</v>
      </c>
      <c r="P57" s="79">
        <f>P58-VLOOKUP(B57+1,'Years of Service'!$B$24:$C$51,2,FALSE)</f>
        <v>0</v>
      </c>
    </row>
    <row r="58" spans="1:16" ht="12.75">
      <c r="A58" s="30"/>
      <c r="B58" s="66">
        <f t="shared" si="3"/>
        <v>2003</v>
      </c>
      <c r="C58" s="30"/>
      <c r="D58" s="74">
        <f>'Data Entry'!B47</f>
        <v>0</v>
      </c>
      <c r="E58" s="66" t="s">
        <v>72</v>
      </c>
      <c r="F58" s="75">
        <v>12000</v>
      </c>
      <c r="G58" s="66" t="s">
        <v>73</v>
      </c>
      <c r="H58" s="74">
        <f t="shared" si="0"/>
        <v>0</v>
      </c>
      <c r="J58" s="16">
        <f>IF(P58&gt;=15,1,0)*MIN(15000-SUM($J$42:J57),MIN(H58,3000))</f>
        <v>0</v>
      </c>
      <c r="K58" s="76">
        <f>IF(O58&gt;=50,1,0)*MIN(H58-J58,2000)</f>
        <v>0</v>
      </c>
      <c r="L58" s="77">
        <f t="shared" si="1"/>
        <v>0</v>
      </c>
      <c r="M58" s="78"/>
      <c r="O58" s="70">
        <f t="shared" si="2"/>
        <v>2003</v>
      </c>
      <c r="P58" s="79">
        <f>P59-VLOOKUP(B58+1,'Years of Service'!$B$24:$C$51,2,FALSE)</f>
        <v>0</v>
      </c>
    </row>
    <row r="59" spans="1:16" ht="12.75">
      <c r="A59" s="30"/>
      <c r="B59" s="66">
        <f t="shared" si="3"/>
        <v>2004</v>
      </c>
      <c r="C59" s="30"/>
      <c r="D59" s="74">
        <f>'Data Entry'!B48</f>
        <v>0</v>
      </c>
      <c r="E59" s="66" t="s">
        <v>72</v>
      </c>
      <c r="F59" s="75">
        <v>13000</v>
      </c>
      <c r="G59" s="66" t="s">
        <v>73</v>
      </c>
      <c r="H59" s="74">
        <f t="shared" si="0"/>
        <v>0</v>
      </c>
      <c r="J59" s="16">
        <f>IF(P59&gt;=15,1,0)*MIN(15000-SUM($J$42:J58),MIN(H59,3000))</f>
        <v>0</v>
      </c>
      <c r="K59" s="76">
        <f>IF(O59&gt;=50,1,0)*MIN(H59-J59,3000)</f>
        <v>0</v>
      </c>
      <c r="L59" s="77">
        <f t="shared" si="1"/>
        <v>0</v>
      </c>
      <c r="M59" s="78"/>
      <c r="O59" s="70">
        <f t="shared" si="2"/>
        <v>2004</v>
      </c>
      <c r="P59" s="79">
        <f>P60-VLOOKUP(B59+1,'Years of Service'!$B$24:$C$51,2,FALSE)</f>
        <v>0</v>
      </c>
    </row>
    <row r="60" spans="1:16" ht="12.75">
      <c r="A60" s="30"/>
      <c r="B60" s="66">
        <f t="shared" si="3"/>
        <v>2005</v>
      </c>
      <c r="C60" s="30"/>
      <c r="D60" s="74">
        <f>'Data Entry'!B49</f>
        <v>0</v>
      </c>
      <c r="E60" s="66" t="s">
        <v>72</v>
      </c>
      <c r="F60" s="75">
        <v>14000</v>
      </c>
      <c r="G60" s="66" t="s">
        <v>73</v>
      </c>
      <c r="H60" s="74">
        <f t="shared" si="0"/>
        <v>0</v>
      </c>
      <c r="J60" s="16">
        <f>IF(P60&gt;=15,1,0)*MIN(15000-SUM($J$42:J59),MIN(H60,3000))</f>
        <v>0</v>
      </c>
      <c r="K60" s="76">
        <f>IF(O60&gt;=50,1,0)*MIN(H60-J60,4000)</f>
        <v>0</v>
      </c>
      <c r="L60" s="77">
        <f t="shared" si="1"/>
        <v>0</v>
      </c>
      <c r="M60" s="78"/>
      <c r="O60" s="70">
        <f t="shared" si="2"/>
        <v>2005</v>
      </c>
      <c r="P60" s="79">
        <f>P61-VLOOKUP(B60+1,'Years of Service'!$B$24:$C$51,2,FALSE)</f>
        <v>0</v>
      </c>
    </row>
    <row r="61" spans="1:16" ht="12.75">
      <c r="A61" s="30"/>
      <c r="B61" s="66">
        <f t="shared" si="3"/>
        <v>2006</v>
      </c>
      <c r="C61" s="30"/>
      <c r="D61" s="74">
        <f>'Data Entry'!B50</f>
        <v>0</v>
      </c>
      <c r="E61" s="66" t="s">
        <v>72</v>
      </c>
      <c r="F61" s="75">
        <v>15000</v>
      </c>
      <c r="G61" s="66" t="s">
        <v>73</v>
      </c>
      <c r="H61" s="74">
        <f t="shared" si="0"/>
        <v>0</v>
      </c>
      <c r="J61" s="16">
        <f>IF(P61&gt;=15,1,0)*MIN(15000-SUM($J$42:J60),MIN(H61,3000))</f>
        <v>0</v>
      </c>
      <c r="K61" s="76">
        <f>IF(O61&gt;=50,1,0)*MIN(H61-J61,5000)</f>
        <v>0</v>
      </c>
      <c r="L61" s="77">
        <f t="shared" si="1"/>
        <v>0</v>
      </c>
      <c r="M61" s="78"/>
      <c r="O61" s="70">
        <f t="shared" si="2"/>
        <v>2006</v>
      </c>
      <c r="P61" s="79">
        <f>P62-VLOOKUP(B61+1,'Years of Service'!$B$24:$C$51,2,FALSE)</f>
        <v>0</v>
      </c>
    </row>
    <row r="62" spans="1:16" ht="12.75">
      <c r="A62" s="30"/>
      <c r="B62" s="66">
        <f t="shared" si="3"/>
        <v>2007</v>
      </c>
      <c r="C62" s="30"/>
      <c r="D62" s="74">
        <f>'Data Entry'!B51</f>
        <v>0</v>
      </c>
      <c r="E62" s="66" t="s">
        <v>72</v>
      </c>
      <c r="F62" s="75">
        <v>15500</v>
      </c>
      <c r="G62" s="66" t="s">
        <v>73</v>
      </c>
      <c r="H62" s="74">
        <f t="shared" si="0"/>
        <v>0</v>
      </c>
      <c r="J62" s="16">
        <f>IF(P62&gt;=15,1,0)*MIN(15000-SUM($J$42:J61),MIN(H62,3000))</f>
        <v>0</v>
      </c>
      <c r="K62" s="76">
        <f>IF(O62&gt;=50,1,0)*MIN(H62-J62,5000)</f>
        <v>0</v>
      </c>
      <c r="L62" s="77">
        <f t="shared" si="1"/>
        <v>0</v>
      </c>
      <c r="M62" s="78"/>
      <c r="O62" s="70">
        <f t="shared" si="2"/>
        <v>2007</v>
      </c>
      <c r="P62" s="79">
        <f>P63-VLOOKUP(B62+1,'Years of Service'!$B$24:$C$51,2,FALSE)</f>
        <v>0</v>
      </c>
    </row>
    <row r="63" spans="1:16" ht="12.75">
      <c r="A63" s="30"/>
      <c r="B63" s="66">
        <f t="shared" si="3"/>
        <v>2008</v>
      </c>
      <c r="C63" s="30"/>
      <c r="D63" s="74">
        <f>'Data Entry'!B52</f>
        <v>0</v>
      </c>
      <c r="E63" s="66" t="s">
        <v>72</v>
      </c>
      <c r="F63" s="75">
        <v>15500</v>
      </c>
      <c r="G63" s="66" t="s">
        <v>73</v>
      </c>
      <c r="H63" s="74">
        <f t="shared" si="0"/>
        <v>0</v>
      </c>
      <c r="J63" s="16">
        <f>IF(P63&gt;=15,1,0)*MIN(15000-SUM($J$42:J62),MIN(H63,3000))</f>
        <v>0</v>
      </c>
      <c r="K63" s="76">
        <f>IF(O63&gt;=50,1,0)*MIN(H63-J63,5000)</f>
        <v>0</v>
      </c>
      <c r="L63" s="77">
        <f t="shared" si="1"/>
        <v>0</v>
      </c>
      <c r="M63" s="78"/>
      <c r="O63" s="70">
        <f t="shared" si="2"/>
        <v>2008</v>
      </c>
      <c r="P63" s="79">
        <f>P64-VLOOKUP(B63+1,'Years of Service'!$B$24:$C$51,2,FALSE)</f>
        <v>0</v>
      </c>
    </row>
    <row r="64" spans="1:16" ht="12.75">
      <c r="A64" s="30"/>
      <c r="B64" s="66">
        <f t="shared" si="3"/>
        <v>2009</v>
      </c>
      <c r="C64" s="30"/>
      <c r="D64" s="74">
        <f>'Data Entry'!B53</f>
        <v>0</v>
      </c>
      <c r="E64" s="66" t="s">
        <v>72</v>
      </c>
      <c r="F64" s="75">
        <v>16500</v>
      </c>
      <c r="G64" s="66" t="s">
        <v>73</v>
      </c>
      <c r="H64" s="74">
        <f t="shared" si="0"/>
        <v>0</v>
      </c>
      <c r="J64" s="16">
        <f>IF(P64&gt;=15,1,0)*MIN(15000-SUM($J$42:J63),MIN(H64,3000))</f>
        <v>0</v>
      </c>
      <c r="K64" s="76">
        <f aca="true" t="shared" si="4" ref="K64:K69">IF(O64&gt;=50,1,0)*MIN(H64-J64,5500)</f>
        <v>0</v>
      </c>
      <c r="L64" s="77">
        <f t="shared" si="1"/>
        <v>0</v>
      </c>
      <c r="M64" s="78"/>
      <c r="O64" s="70">
        <f t="shared" si="2"/>
        <v>2009</v>
      </c>
      <c r="P64" s="79">
        <f>P65-VLOOKUP(B64+1,'Years of Service'!$B$24:$C$51,2,FALSE)</f>
        <v>0</v>
      </c>
    </row>
    <row r="65" spans="1:16" ht="12.75">
      <c r="A65" s="30"/>
      <c r="B65" s="66">
        <f t="shared" si="3"/>
        <v>2010</v>
      </c>
      <c r="C65" s="30"/>
      <c r="D65" s="74">
        <f>'Data Entry'!B54</f>
        <v>0</v>
      </c>
      <c r="E65" s="66" t="s">
        <v>72</v>
      </c>
      <c r="F65" s="75">
        <v>16500</v>
      </c>
      <c r="G65" s="66" t="s">
        <v>73</v>
      </c>
      <c r="H65" s="74">
        <f t="shared" si="0"/>
        <v>0</v>
      </c>
      <c r="J65" s="16">
        <f>IF(P65&gt;=15,1,0)*MIN(15000-SUM($J$42:J64),MIN(H65,3000))</f>
        <v>0</v>
      </c>
      <c r="K65" s="76">
        <f t="shared" si="4"/>
        <v>0</v>
      </c>
      <c r="L65" s="77">
        <f t="shared" si="1"/>
        <v>0</v>
      </c>
      <c r="M65" s="78"/>
      <c r="O65" s="70">
        <f t="shared" si="2"/>
        <v>2010</v>
      </c>
      <c r="P65" s="79">
        <f>P66-VLOOKUP(B65+1,'Years of Service'!$B$24:$C$51,2,FALSE)</f>
        <v>0</v>
      </c>
    </row>
    <row r="66" spans="1:16" ht="12.75">
      <c r="A66" s="30"/>
      <c r="B66" s="66">
        <f t="shared" si="3"/>
        <v>2011</v>
      </c>
      <c r="C66" s="30"/>
      <c r="D66" s="74">
        <f>'Data Entry'!B55</f>
        <v>0</v>
      </c>
      <c r="E66" s="66" t="s">
        <v>72</v>
      </c>
      <c r="F66" s="75">
        <v>16500</v>
      </c>
      <c r="G66" s="66" t="s">
        <v>73</v>
      </c>
      <c r="H66" s="74">
        <f t="shared" si="0"/>
        <v>0</v>
      </c>
      <c r="J66" s="16">
        <f>IF(P66&gt;=15,1,0)*MIN(15000-SUM($J$42:J65),MIN(H66,3000))</f>
        <v>0</v>
      </c>
      <c r="K66" s="76">
        <f t="shared" si="4"/>
        <v>0</v>
      </c>
      <c r="L66" s="77">
        <f>H66-J66-K66</f>
        <v>0</v>
      </c>
      <c r="M66" s="78"/>
      <c r="O66" s="70">
        <f t="shared" si="2"/>
        <v>2011</v>
      </c>
      <c r="P66" s="79">
        <f>P67-VLOOKUP(B66+1,'Years of Service'!$B$24:$C$51,2,FALSE)</f>
        <v>0</v>
      </c>
    </row>
    <row r="67" spans="1:16" ht="12.75">
      <c r="A67" s="30"/>
      <c r="B67" s="66">
        <f t="shared" si="3"/>
        <v>2012</v>
      </c>
      <c r="C67" s="30"/>
      <c r="D67" s="74">
        <f>'Data Entry'!B56</f>
        <v>0</v>
      </c>
      <c r="E67" s="66" t="s">
        <v>72</v>
      </c>
      <c r="F67" s="75">
        <v>17000</v>
      </c>
      <c r="G67" s="66" t="s">
        <v>73</v>
      </c>
      <c r="H67" s="74">
        <f t="shared" si="0"/>
        <v>0</v>
      </c>
      <c r="J67" s="16">
        <f>IF(P67&gt;=15,1,0)*MIN(15000-SUM($J$42:J66),MIN(H67,3000))</f>
        <v>0</v>
      </c>
      <c r="K67" s="76">
        <f t="shared" si="4"/>
        <v>0</v>
      </c>
      <c r="L67" s="77">
        <f t="shared" si="1"/>
        <v>0</v>
      </c>
      <c r="M67" s="78"/>
      <c r="O67" s="70">
        <f t="shared" si="2"/>
        <v>2012</v>
      </c>
      <c r="P67" s="79">
        <f>P68-VLOOKUP(B67+1,'Years of Service'!$B$24:$C$51,2,FALSE)</f>
        <v>0</v>
      </c>
    </row>
    <row r="68" spans="1:16" ht="12.75">
      <c r="A68" s="30"/>
      <c r="B68" s="66">
        <f t="shared" si="3"/>
        <v>2013</v>
      </c>
      <c r="C68" s="30"/>
      <c r="D68" s="74">
        <f>'Data Entry'!B57</f>
        <v>0</v>
      </c>
      <c r="E68" s="66" t="s">
        <v>72</v>
      </c>
      <c r="F68" s="75">
        <v>17000</v>
      </c>
      <c r="G68" s="66" t="s">
        <v>73</v>
      </c>
      <c r="H68" s="74">
        <f>MAX(0,D68-F68)</f>
        <v>0</v>
      </c>
      <c r="J68" s="16">
        <f>IF(P68&gt;=15,1,0)*MIN(15000-SUM($J$42:J67),MIN(H68,3000))</f>
        <v>0</v>
      </c>
      <c r="K68" s="76">
        <f t="shared" si="4"/>
        <v>0</v>
      </c>
      <c r="L68" s="77">
        <f>H68-J68-K68</f>
        <v>0</v>
      </c>
      <c r="M68" s="78"/>
      <c r="O68" s="70">
        <f>B68-DOB</f>
        <v>2013</v>
      </c>
      <c r="P68" s="79">
        <f>P69-VLOOKUP(B68+1,'Years of Service'!$B$24:$C$51,2,FALSE)</f>
        <v>0</v>
      </c>
    </row>
    <row r="69" spans="1:16" ht="12.75">
      <c r="A69" s="30"/>
      <c r="B69" s="66">
        <f t="shared" si="3"/>
        <v>2014</v>
      </c>
      <c r="C69" s="30"/>
      <c r="D69" s="74">
        <f>'Data Entry'!B58</f>
        <v>0</v>
      </c>
      <c r="E69" s="66" t="s">
        <v>72</v>
      </c>
      <c r="F69" s="75">
        <v>17500</v>
      </c>
      <c r="G69" s="66" t="s">
        <v>73</v>
      </c>
      <c r="H69" s="74">
        <f>MAX(0,D69-F69)</f>
        <v>0</v>
      </c>
      <c r="J69" s="16">
        <f>IF(P69&gt;=15,1,0)*MIN(15000-SUM($J$42:J68),MIN(H69,3000))</f>
        <v>0</v>
      </c>
      <c r="K69" s="76">
        <f t="shared" si="4"/>
        <v>0</v>
      </c>
      <c r="L69" s="77">
        <f>H69-J69-K69</f>
        <v>0</v>
      </c>
      <c r="M69" s="78"/>
      <c r="O69" s="70">
        <f>B69-DOB</f>
        <v>2014</v>
      </c>
      <c r="P69" s="79">
        <f>P72-VLOOKUP(B68+1,'Years of Service'!$B$23:$C$50,2,FALSE)</f>
        <v>0</v>
      </c>
    </row>
    <row r="70" spans="1:16" ht="12.75">
      <c r="A70" s="30"/>
      <c r="B70" s="66">
        <f t="shared" si="3"/>
        <v>2015</v>
      </c>
      <c r="C70" s="30"/>
      <c r="D70" s="74">
        <f>'Data Entry'!B59</f>
        <v>0</v>
      </c>
      <c r="E70" s="66" t="s">
        <v>72</v>
      </c>
      <c r="F70" s="75">
        <v>18000</v>
      </c>
      <c r="G70" s="66" t="s">
        <v>73</v>
      </c>
      <c r="H70" s="74">
        <f>MAX(0,D70-F70)</f>
        <v>0</v>
      </c>
      <c r="J70" s="16">
        <f>IF(P70&gt;=15,1,0)*MIN(15000-SUM($J$42:J69),MIN(H70,3000))</f>
        <v>0</v>
      </c>
      <c r="K70" s="76">
        <f>IF(O70&gt;=50,1,0)*MIN(H70-J70,5500)</f>
        <v>0</v>
      </c>
      <c r="L70" s="77">
        <f>H70-J70-K70</f>
        <v>0</v>
      </c>
      <c r="M70" s="78"/>
      <c r="O70" s="70">
        <f>B70-DOB</f>
        <v>2015</v>
      </c>
      <c r="P70" s="79">
        <f>Service-'Years of Service'!C23</f>
        <v>0</v>
      </c>
    </row>
    <row r="71" spans="1:16" ht="12.75">
      <c r="A71" s="30"/>
      <c r="B71" s="66"/>
      <c r="C71" s="30"/>
      <c r="D71" s="74"/>
      <c r="E71" s="66"/>
      <c r="F71" s="75"/>
      <c r="G71" s="66"/>
      <c r="H71" s="74"/>
      <c r="J71" s="16"/>
      <c r="K71" s="76"/>
      <c r="L71" s="77"/>
      <c r="M71" s="78"/>
      <c r="O71" s="70"/>
      <c r="P71" s="79"/>
    </row>
    <row r="72" spans="1:16" ht="18" customHeight="1">
      <c r="A72" s="30"/>
      <c r="B72" s="66"/>
      <c r="C72" s="30"/>
      <c r="D72" s="80"/>
      <c r="E72" s="30"/>
      <c r="F72" s="81"/>
      <c r="G72" s="30"/>
      <c r="H72" s="82"/>
      <c r="J72" s="30"/>
      <c r="K72" s="83"/>
      <c r="L72" s="83"/>
      <c r="M72" s="31"/>
      <c r="O72" s="70"/>
      <c r="P72" s="70">
        <f>Service</f>
        <v>0</v>
      </c>
    </row>
    <row r="73" spans="1:16" ht="12.75">
      <c r="A73" s="30"/>
      <c r="B73" s="66"/>
      <c r="C73" s="30"/>
      <c r="D73" s="66"/>
      <c r="E73" s="30"/>
      <c r="F73" s="30"/>
      <c r="G73" s="84"/>
      <c r="I73" s="85" t="s">
        <v>74</v>
      </c>
      <c r="J73" s="86">
        <f>SUM(J40:J70)</f>
        <v>0</v>
      </c>
      <c r="K73" s="30"/>
      <c r="L73" s="30"/>
      <c r="M73" s="31"/>
      <c r="O73" s="70"/>
      <c r="P73" s="70"/>
    </row>
    <row r="74" spans="1:16" ht="20.25" customHeight="1">
      <c r="A74" s="30"/>
      <c r="B74" s="66"/>
      <c r="C74" s="30"/>
      <c r="D74" s="66"/>
      <c r="E74" s="30"/>
      <c r="F74" s="30"/>
      <c r="G74" s="30"/>
      <c r="H74" s="30"/>
      <c r="J74" s="30"/>
      <c r="K74" s="30"/>
      <c r="L74" s="30"/>
      <c r="M74" s="31"/>
      <c r="O74" s="70"/>
      <c r="P74" s="70"/>
    </row>
    <row r="75" spans="1:16" ht="18" customHeight="1">
      <c r="A75" s="30"/>
      <c r="B75" s="66"/>
      <c r="C75" s="30"/>
      <c r="D75" s="66"/>
      <c r="E75" s="30"/>
      <c r="F75" s="30"/>
      <c r="G75" s="30"/>
      <c r="H75" s="30"/>
      <c r="J75" s="30"/>
      <c r="K75" s="30"/>
      <c r="L75" s="30"/>
      <c r="M75" s="31"/>
      <c r="O75" s="70"/>
      <c r="P75" s="70"/>
    </row>
    <row r="76" spans="13:16" ht="12.75" customHeight="1" hidden="1">
      <c r="M76" s="25"/>
      <c r="O76" s="70"/>
      <c r="P76" s="70"/>
    </row>
    <row r="77" spans="1:16" ht="9" customHeight="1">
      <c r="A77" s="30"/>
      <c r="B77" s="66"/>
      <c r="C77" s="30"/>
      <c r="D77" s="66"/>
      <c r="E77" s="30"/>
      <c r="F77" s="30"/>
      <c r="G77" s="30"/>
      <c r="J77" s="30"/>
      <c r="K77" s="30"/>
      <c r="L77" s="30"/>
      <c r="M77" s="25"/>
      <c r="O77" s="70"/>
      <c r="P77" s="70"/>
    </row>
    <row r="78" spans="1:13" ht="13.5" customHeight="1">
      <c r="A78" s="87" t="s">
        <v>75</v>
      </c>
      <c r="B78" s="66"/>
      <c r="C78" s="30"/>
      <c r="D78" s="66"/>
      <c r="E78" s="30"/>
      <c r="F78" s="30"/>
      <c r="H78" s="88" t="s">
        <v>76</v>
      </c>
      <c r="J78" s="89"/>
      <c r="K78" s="30"/>
      <c r="L78" s="90">
        <f>J73</f>
        <v>0</v>
      </c>
      <c r="M78" s="91" t="s">
        <v>77</v>
      </c>
    </row>
    <row r="79" spans="1:13" ht="6.75" customHeight="1">
      <c r="A79" s="30"/>
      <c r="B79" s="66"/>
      <c r="C79" s="30"/>
      <c r="D79" s="66"/>
      <c r="E79" s="30"/>
      <c r="F79" s="30"/>
      <c r="G79" s="30"/>
      <c r="H79" s="30"/>
      <c r="J79" s="30"/>
      <c r="K79" s="30"/>
      <c r="L79" s="30"/>
      <c r="M79" s="31"/>
    </row>
    <row r="80" spans="2:13" ht="12.75">
      <c r="B80" s="30" t="s">
        <v>78</v>
      </c>
      <c r="C80" s="30"/>
      <c r="D80" s="66"/>
      <c r="E80" s="30"/>
      <c r="F80" s="30"/>
      <c r="G80" s="30"/>
      <c r="H80" s="30"/>
      <c r="J80" s="30"/>
      <c r="K80" s="30"/>
      <c r="L80" s="30"/>
      <c r="M80" s="31"/>
    </row>
    <row r="81" spans="1:13" ht="12.75">
      <c r="A81" s="30"/>
      <c r="B81" s="30" t="str">
        <f>"If total is less than $15,000, subtract total from "&amp;DOLLAR(15000+Limit402g,0)&amp;":"</f>
        <v>If total is less than $15,000, subtract total from $33,000:</v>
      </c>
      <c r="C81" s="30"/>
      <c r="D81" s="66"/>
      <c r="E81" s="30"/>
      <c r="F81" s="30"/>
      <c r="G81" s="30"/>
      <c r="H81" s="30"/>
      <c r="J81" s="30"/>
      <c r="K81" s="30"/>
      <c r="L81" s="30"/>
      <c r="M81" s="31"/>
    </row>
    <row r="82" spans="1:13" ht="6.75" customHeight="1">
      <c r="A82" s="30"/>
      <c r="B82" s="66"/>
      <c r="C82" s="30"/>
      <c r="D82" s="66"/>
      <c r="E82" s="30"/>
      <c r="F82" s="30"/>
      <c r="G82" s="30"/>
      <c r="H82" s="30"/>
      <c r="J82" s="30"/>
      <c r="K82" s="30"/>
      <c r="L82" s="30"/>
      <c r="M82" s="31"/>
    </row>
    <row r="83" spans="1:13" ht="12.75">
      <c r="A83" s="57" t="s">
        <v>79</v>
      </c>
      <c r="B83" s="30" t="str">
        <f>DOLLAR(15000+Limit402g,0)&amp;" minus total above:"</f>
        <v>$33,000 minus total above:</v>
      </c>
      <c r="C83" s="30"/>
      <c r="D83" s="66"/>
      <c r="E83" s="30"/>
      <c r="F83" s="30"/>
      <c r="G83" s="30"/>
      <c r="H83" s="30"/>
      <c r="J83" s="30"/>
      <c r="K83" s="30"/>
      <c r="L83" s="92">
        <f>MAX(Limit402g,IF(L29&lt;15,Limit402g,MAX(0,15000+Limit402g-L78)))</f>
        <v>18000</v>
      </c>
      <c r="M83" s="31" t="s">
        <v>80</v>
      </c>
    </row>
    <row r="84" spans="1:13" ht="6.75" customHeight="1">
      <c r="A84" s="30"/>
      <c r="B84" s="30"/>
      <c r="C84" s="66"/>
      <c r="D84" s="30"/>
      <c r="E84" s="66"/>
      <c r="F84" s="30"/>
      <c r="G84" s="30"/>
      <c r="H84" s="30"/>
      <c r="I84" s="30"/>
      <c r="J84" s="30"/>
      <c r="K84" s="30"/>
      <c r="L84" s="30"/>
      <c r="M84" s="31"/>
    </row>
    <row r="85" spans="1:13" ht="12.75">
      <c r="A85" s="31" t="s">
        <v>81</v>
      </c>
      <c r="C85" s="66"/>
      <c r="D85" s="30"/>
      <c r="E85" s="66"/>
      <c r="F85" s="30"/>
      <c r="G85" s="30"/>
      <c r="H85" s="30"/>
      <c r="I85" s="30"/>
      <c r="J85" s="30"/>
      <c r="K85" s="30"/>
      <c r="L85" s="30"/>
      <c r="M85" s="31"/>
    </row>
    <row r="86" spans="1:13" ht="12.75">
      <c r="A86" s="31" t="s">
        <v>82</v>
      </c>
      <c r="C86" s="66"/>
      <c r="D86" s="30"/>
      <c r="E86" s="66"/>
      <c r="F86" s="30"/>
      <c r="G86" s="30"/>
      <c r="H86" s="30"/>
      <c r="I86" s="30"/>
      <c r="J86" s="30"/>
      <c r="K86" s="30"/>
      <c r="L86" s="30"/>
      <c r="M86" s="31"/>
    </row>
    <row r="87" spans="1:13" ht="32.25" customHeight="1">
      <c r="A87" s="30"/>
      <c r="B87" s="30"/>
      <c r="C87" s="66"/>
      <c r="D87" s="30"/>
      <c r="E87" s="66"/>
      <c r="F87" s="30"/>
      <c r="G87" s="30"/>
      <c r="H87" s="30"/>
      <c r="I87" s="30"/>
      <c r="J87" s="30"/>
      <c r="K87" s="30"/>
      <c r="L87" s="30"/>
      <c r="M87" s="31"/>
    </row>
    <row r="88" spans="1:13" ht="12.75">
      <c r="A88" s="57" t="s">
        <v>83</v>
      </c>
      <c r="B88" s="66" t="s">
        <v>84</v>
      </c>
      <c r="C88" s="30" t="s">
        <v>85</v>
      </c>
      <c r="D88" s="66"/>
      <c r="E88" s="30"/>
      <c r="G88" s="30"/>
      <c r="H88" s="38">
        <f>Service</f>
        <v>0</v>
      </c>
      <c r="J88" s="30"/>
      <c r="K88" s="30"/>
      <c r="L88" s="30"/>
      <c r="M88" s="31"/>
    </row>
    <row r="89" spans="1:13" ht="12.75">
      <c r="A89" s="30"/>
      <c r="B89" s="66" t="s">
        <v>86</v>
      </c>
      <c r="C89" s="30" t="s">
        <v>87</v>
      </c>
      <c r="D89" s="66"/>
      <c r="E89" s="30"/>
      <c r="G89" s="93" t="s">
        <v>88</v>
      </c>
      <c r="H89" s="94">
        <v>5000</v>
      </c>
      <c r="J89" s="30"/>
      <c r="K89" s="30"/>
      <c r="L89" s="30"/>
      <c r="M89" s="31"/>
    </row>
    <row r="90" spans="1:13" ht="3" customHeight="1">
      <c r="A90" s="30"/>
      <c r="B90" s="66"/>
      <c r="C90" s="30"/>
      <c r="D90" s="66"/>
      <c r="E90" s="30"/>
      <c r="G90" s="30"/>
      <c r="H90" s="94"/>
      <c r="J90" s="30"/>
      <c r="K90" s="30"/>
      <c r="L90" s="30"/>
      <c r="M90" s="31"/>
    </row>
    <row r="91" spans="1:13" ht="12.75">
      <c r="A91" s="30"/>
      <c r="B91" s="66"/>
      <c r="C91" s="30"/>
      <c r="D91" s="66"/>
      <c r="E91" s="30"/>
      <c r="G91" s="93" t="s">
        <v>89</v>
      </c>
      <c r="H91" s="95">
        <f>H88*H89</f>
        <v>0</v>
      </c>
      <c r="J91" s="30"/>
      <c r="K91" s="30"/>
      <c r="L91" s="30"/>
      <c r="M91" s="31"/>
    </row>
    <row r="92" spans="1:13" ht="12.75">
      <c r="A92" s="30"/>
      <c r="B92" s="66"/>
      <c r="C92" s="30"/>
      <c r="D92" s="66"/>
      <c r="E92" s="30"/>
      <c r="G92" s="30"/>
      <c r="H92" s="30"/>
      <c r="J92" s="30"/>
      <c r="K92" s="30"/>
      <c r="L92" s="30"/>
      <c r="M92" s="31"/>
    </row>
    <row r="93" spans="1:13" ht="12.75">
      <c r="A93" s="30"/>
      <c r="B93" s="66" t="s">
        <v>90</v>
      </c>
      <c r="C93" s="31" t="s">
        <v>91</v>
      </c>
      <c r="D93" s="66"/>
      <c r="E93" s="30"/>
      <c r="G93" s="30"/>
      <c r="H93" s="30"/>
      <c r="J93" s="30"/>
      <c r="K93" s="30"/>
      <c r="L93" s="30"/>
      <c r="M93" s="31"/>
    </row>
    <row r="94" spans="1:13" ht="12.75">
      <c r="A94" s="30"/>
      <c r="B94" s="66"/>
      <c r="C94" s="30" t="s">
        <v>92</v>
      </c>
      <c r="D94" s="30"/>
      <c r="E94" s="30"/>
      <c r="G94" s="30"/>
      <c r="H94" s="30"/>
      <c r="J94" s="30"/>
      <c r="K94" s="30"/>
      <c r="L94" s="30"/>
      <c r="M94" s="31"/>
    </row>
    <row r="95" spans="1:13" ht="12.75">
      <c r="A95" s="30"/>
      <c r="C95" s="25" t="s">
        <v>93</v>
      </c>
      <c r="D95" s="30"/>
      <c r="E95" s="30"/>
      <c r="G95" s="30"/>
      <c r="H95" s="64">
        <f>TotalDefs+SUM('Data Entry'!$B$31:B56)-SUM($K$57:K69)</f>
        <v>0</v>
      </c>
      <c r="J95" s="30"/>
      <c r="K95" s="30"/>
      <c r="L95" s="30"/>
      <c r="M95" s="31"/>
    </row>
    <row r="96" spans="1:13" ht="3" customHeight="1">
      <c r="A96" s="30"/>
      <c r="B96" s="30"/>
      <c r="C96" s="66"/>
      <c r="D96" s="30"/>
      <c r="E96" s="66"/>
      <c r="F96" s="30"/>
      <c r="G96" s="30"/>
      <c r="H96" s="30"/>
      <c r="J96" s="30"/>
      <c r="K96" s="30"/>
      <c r="L96" s="30"/>
      <c r="M96" s="31"/>
    </row>
    <row r="97" spans="1:13" ht="12.75">
      <c r="A97" s="30"/>
      <c r="B97" s="30"/>
      <c r="C97" s="66"/>
      <c r="D97" s="30"/>
      <c r="E97" s="66"/>
      <c r="F97" s="30"/>
      <c r="G97" s="93" t="s">
        <v>94</v>
      </c>
      <c r="H97" s="89">
        <f>MAX(0,H91-H95)</f>
        <v>0</v>
      </c>
      <c r="K97" s="30"/>
      <c r="L97" s="30"/>
      <c r="M97" s="31"/>
    </row>
    <row r="98" spans="1:13" ht="12.75">
      <c r="A98" s="30"/>
      <c r="B98" s="30"/>
      <c r="C98" s="66"/>
      <c r="D98" s="30"/>
      <c r="E98" s="23"/>
      <c r="F98" s="30"/>
      <c r="G98" s="30"/>
      <c r="H98" s="30"/>
      <c r="I98" s="30"/>
      <c r="J98" s="30"/>
      <c r="K98" s="30"/>
      <c r="L98" s="30"/>
      <c r="M98" s="31"/>
    </row>
    <row r="99" spans="1:13" ht="12.75">
      <c r="A99" s="30"/>
      <c r="B99" s="66" t="s">
        <v>95</v>
      </c>
      <c r="C99" s="30" t="str">
        <f>"If Step 6(c) is greater than zero, add "&amp;DOLLAR(Limit402g,0)</f>
        <v>If Step 6(c) is greater than zero, add $18,000</v>
      </c>
      <c r="E99" s="66"/>
      <c r="F99" s="30"/>
      <c r="G99" s="30"/>
      <c r="H99" s="72"/>
      <c r="I99" s="93"/>
      <c r="J99" s="66"/>
      <c r="L99" s="92">
        <f>IF(L29&lt;15,Limit402g,H97+Limit402g)</f>
        <v>18000</v>
      </c>
      <c r="M99" s="31" t="s">
        <v>96</v>
      </c>
    </row>
    <row r="100" spans="1:13" ht="3" customHeight="1">
      <c r="A100" s="30"/>
      <c r="B100" s="30"/>
      <c r="C100" s="66"/>
      <c r="D100" s="30"/>
      <c r="E100" s="66"/>
      <c r="F100" s="30"/>
      <c r="G100" s="30"/>
      <c r="H100" s="30"/>
      <c r="I100" s="30"/>
      <c r="J100" s="30"/>
      <c r="K100" s="30"/>
      <c r="L100" s="30"/>
      <c r="M100" s="31"/>
    </row>
    <row r="101" spans="1:13" ht="12.75">
      <c r="A101" s="30"/>
      <c r="B101" s="30"/>
      <c r="C101" s="66"/>
      <c r="D101" s="30"/>
      <c r="E101" s="66"/>
      <c r="F101" s="30"/>
      <c r="G101" s="30"/>
      <c r="H101" s="30"/>
      <c r="I101" s="30"/>
      <c r="J101" s="30"/>
      <c r="K101" s="30"/>
      <c r="L101" s="30"/>
      <c r="M101" s="31"/>
    </row>
    <row r="102" spans="1:13" ht="12.75">
      <c r="A102" s="57" t="s">
        <v>97</v>
      </c>
      <c r="B102" s="30" t="str">
        <f>"Enter "&amp;DOLLAR(IF(L29&lt;15,0,3000)+Limit402g,0)</f>
        <v>Enter $18,000</v>
      </c>
      <c r="D102" s="30"/>
      <c r="E102" s="66"/>
      <c r="F102" s="30"/>
      <c r="G102" s="30"/>
      <c r="H102" s="30"/>
      <c r="I102" s="30"/>
      <c r="J102" s="30"/>
      <c r="K102" s="30"/>
      <c r="L102" s="64">
        <f>IF(L29&lt;15,0,3000)+Limit402g</f>
        <v>18000</v>
      </c>
      <c r="M102" s="31" t="s">
        <v>98</v>
      </c>
    </row>
    <row r="103" spans="1:13" ht="12.75">
      <c r="A103" s="30"/>
      <c r="B103" s="66"/>
      <c r="D103" s="30"/>
      <c r="E103" s="66"/>
      <c r="F103" s="30"/>
      <c r="G103" s="30"/>
      <c r="H103" s="30"/>
      <c r="I103" s="30"/>
      <c r="J103" s="30"/>
      <c r="K103" s="30"/>
      <c r="L103" s="30"/>
      <c r="M103" s="31"/>
    </row>
    <row r="104" spans="1:13" ht="12.75">
      <c r="A104" s="57" t="s">
        <v>99</v>
      </c>
      <c r="B104" s="30" t="s">
        <v>100</v>
      </c>
      <c r="D104" s="30"/>
      <c r="E104" s="66"/>
      <c r="F104" s="30"/>
      <c r="G104" s="30"/>
      <c r="H104" s="30"/>
      <c r="I104" s="30"/>
      <c r="J104" s="30"/>
      <c r="K104" s="30"/>
      <c r="L104" s="64">
        <f>MIN(L35,L83,L99,L102)</f>
        <v>18000</v>
      </c>
      <c r="M104" s="31" t="s">
        <v>101</v>
      </c>
    </row>
    <row r="105" spans="1:13" ht="12.75">
      <c r="A105" s="30"/>
      <c r="B105" s="30" t="s">
        <v>102</v>
      </c>
      <c r="D105" s="30"/>
      <c r="E105" s="66"/>
      <c r="F105" s="30"/>
      <c r="G105" s="30"/>
      <c r="H105" s="30"/>
      <c r="I105" s="30"/>
      <c r="J105" s="30"/>
      <c r="K105" s="30"/>
      <c r="L105" s="30"/>
      <c r="M105" s="31"/>
    </row>
    <row r="106" spans="1:13" ht="12.75">
      <c r="A106" s="30"/>
      <c r="B106" s="66"/>
      <c r="D106" s="30"/>
      <c r="E106" s="66"/>
      <c r="F106" s="30"/>
      <c r="G106" s="30"/>
      <c r="H106" s="30"/>
      <c r="I106" s="30"/>
      <c r="J106" s="30"/>
      <c r="K106" s="30"/>
      <c r="L106" s="30"/>
      <c r="M106" s="31"/>
    </row>
    <row r="107" spans="1:13" ht="12.75">
      <c r="A107" s="57" t="s">
        <v>103</v>
      </c>
      <c r="B107" s="96" t="str">
        <f>"If you were born in "&amp;Yr-50&amp;" or earlier, add an additional "&amp;DOLLAR(CatchUp,0)&amp;" to the amount in Step 8. This is the maximum"</f>
        <v>If you were born in 1966 or earlier, add an additional $6,000 to the amount in Step 8. This is the maximum</v>
      </c>
      <c r="D107" s="30"/>
      <c r="E107" s="66"/>
      <c r="F107" s="30"/>
      <c r="G107" s="30"/>
      <c r="H107" s="30"/>
      <c r="I107" s="30"/>
      <c r="J107" s="30"/>
      <c r="K107" s="30"/>
      <c r="L107" s="64">
        <f>MIN(L35,IF(AND(DOB&gt;1901,DOB&lt;=Yr-50),CatchUp,0)+L104)</f>
        <v>18000</v>
      </c>
      <c r="M107" s="31" t="s">
        <v>104</v>
      </c>
    </row>
    <row r="108" spans="1:13" ht="12.75">
      <c r="A108" s="30"/>
      <c r="B108" s="96" t="str">
        <f>"you are permitted to contribute for tax year "&amp;Yr&amp;". (Limited to Step 2)"</f>
        <v>you are permitted to contribute for tax year 2016. (Limited to Step 2)</v>
      </c>
      <c r="D108" s="30"/>
      <c r="E108" s="66"/>
      <c r="F108" s="30"/>
      <c r="G108" s="30"/>
      <c r="H108" s="30"/>
      <c r="I108" s="30"/>
      <c r="J108" s="30"/>
      <c r="K108" s="30"/>
      <c r="L108" s="30"/>
      <c r="M108" s="31"/>
    </row>
    <row r="109" spans="1:13" ht="12.75">
      <c r="A109" s="30"/>
      <c r="B109" s="96"/>
      <c r="D109" s="30"/>
      <c r="E109" s="66"/>
      <c r="F109" s="30"/>
      <c r="G109" s="30"/>
      <c r="H109" s="30"/>
      <c r="I109" s="30"/>
      <c r="J109" s="30"/>
      <c r="K109" s="30"/>
      <c r="L109" s="30"/>
      <c r="M109" s="31"/>
    </row>
    <row r="110" spans="1:13" ht="13.5" customHeight="1">
      <c r="A110" s="30"/>
      <c r="B110" s="96"/>
      <c r="E110" s="66"/>
      <c r="F110" s="30"/>
      <c r="G110" s="30"/>
      <c r="H110" s="30"/>
      <c r="I110" s="97" t="s">
        <v>105</v>
      </c>
      <c r="J110" s="30"/>
      <c r="K110" s="30"/>
      <c r="L110" s="30"/>
      <c r="M110" s="31"/>
    </row>
    <row r="111" spans="1:13" ht="3.75" customHeight="1">
      <c r="A111" s="30"/>
      <c r="B111" s="96"/>
      <c r="D111" s="30"/>
      <c r="E111" s="66"/>
      <c r="F111" s="30"/>
      <c r="G111" s="30"/>
      <c r="H111" s="30"/>
      <c r="I111" s="30"/>
      <c r="J111" s="30"/>
      <c r="K111" s="30"/>
      <c r="L111" s="30"/>
      <c r="M111" s="31"/>
    </row>
    <row r="112" spans="1:13" ht="12.75">
      <c r="A112" s="30"/>
      <c r="B112" s="96"/>
      <c r="D112" s="30"/>
      <c r="F112" s="30"/>
      <c r="G112" s="30"/>
      <c r="H112" s="30"/>
      <c r="I112" s="30"/>
      <c r="J112" s="30"/>
      <c r="K112" s="93" t="s">
        <v>106</v>
      </c>
      <c r="L112" s="63">
        <f>MIN(L35,Limit402g)</f>
        <v>18000</v>
      </c>
      <c r="M112" s="31"/>
    </row>
    <row r="113" spans="1:13" ht="12.75">
      <c r="A113" s="30"/>
      <c r="B113" s="96"/>
      <c r="D113" s="30"/>
      <c r="E113" s="66"/>
      <c r="F113" s="30"/>
      <c r="G113" s="30"/>
      <c r="H113" s="30"/>
      <c r="I113" s="30"/>
      <c r="J113" s="30"/>
      <c r="K113" s="93" t="s">
        <v>107</v>
      </c>
      <c r="L113" s="89">
        <f>L104-L112</f>
        <v>0</v>
      </c>
      <c r="M113" s="31"/>
    </row>
    <row r="114" spans="1:13" ht="12.75">
      <c r="A114" s="30"/>
      <c r="B114" s="96"/>
      <c r="D114" s="30"/>
      <c r="E114" s="66"/>
      <c r="F114" s="30"/>
      <c r="G114" s="30"/>
      <c r="H114" s="30"/>
      <c r="I114" s="30"/>
      <c r="J114" s="30"/>
      <c r="K114" s="93" t="s">
        <v>108</v>
      </c>
      <c r="L114" s="98">
        <f>L107-L112-L113</f>
        <v>0</v>
      </c>
      <c r="M114" s="31"/>
    </row>
    <row r="115" spans="1:13" ht="12.75">
      <c r="A115" s="30"/>
      <c r="B115" s="96"/>
      <c r="D115" s="30"/>
      <c r="E115" s="66"/>
      <c r="F115" s="30"/>
      <c r="G115" s="30"/>
      <c r="H115" s="30"/>
      <c r="I115" s="30"/>
      <c r="J115" s="30"/>
      <c r="K115" s="85" t="s">
        <v>109</v>
      </c>
      <c r="L115" s="99">
        <f>SUM(L112:L114)</f>
        <v>18000</v>
      </c>
      <c r="M115" s="31"/>
    </row>
    <row r="116" spans="1:13" ht="12.75">
      <c r="A116" s="30"/>
      <c r="B116" s="96"/>
      <c r="D116" s="30"/>
      <c r="E116" s="66"/>
      <c r="F116" s="30"/>
      <c r="G116" s="30"/>
      <c r="H116" s="30"/>
      <c r="I116" s="30"/>
      <c r="J116" s="30"/>
      <c r="K116" s="30"/>
      <c r="L116" s="100">
        <f>IF(L115=L107,"","ERROR!!!!!!!!!!!!")</f>
      </c>
      <c r="M116" s="31"/>
    </row>
    <row r="117" spans="1:13" ht="43.5" customHeight="1">
      <c r="A117" s="127" t="s">
        <v>110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1:13" ht="9" customHeight="1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30"/>
      <c r="M118" s="31"/>
    </row>
    <row r="119" spans="1:18" s="108" customFormat="1" ht="12.75">
      <c r="A119" s="103"/>
      <c r="B119" s="103"/>
      <c r="C119" s="104"/>
      <c r="D119" s="103"/>
      <c r="E119" s="104"/>
      <c r="F119" s="103"/>
      <c r="G119" s="103"/>
      <c r="H119" s="103"/>
      <c r="I119" s="103"/>
      <c r="J119" s="103"/>
      <c r="K119" s="103"/>
      <c r="L119" s="103"/>
      <c r="M119" s="105"/>
      <c r="N119" s="106"/>
      <c r="O119" s="107"/>
      <c r="P119" s="107"/>
      <c r="Q119" s="106"/>
      <c r="R119" s="106"/>
    </row>
    <row r="120" spans="1:13" ht="12.75">
      <c r="A120" s="109" t="s">
        <v>111</v>
      </c>
      <c r="B120" s="109"/>
      <c r="C120" s="109"/>
      <c r="D120" s="109"/>
      <c r="E120" s="109"/>
      <c r="F120" s="109"/>
      <c r="G120" s="109"/>
      <c r="H120" s="30"/>
      <c r="I120" s="109" t="s">
        <v>112</v>
      </c>
      <c r="J120" s="109"/>
      <c r="K120" s="109"/>
      <c r="L120" s="109"/>
      <c r="M120" s="31"/>
    </row>
    <row r="121" spans="1:13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</row>
    <row r="122" spans="1:13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1"/>
    </row>
    <row r="123" spans="1:13" ht="12.75">
      <c r="A123" s="109" t="s">
        <v>113</v>
      </c>
      <c r="B123" s="109"/>
      <c r="C123" s="109"/>
      <c r="D123" s="109"/>
      <c r="E123" s="109"/>
      <c r="F123" s="109"/>
      <c r="G123" s="109"/>
      <c r="H123" s="30"/>
      <c r="I123" s="109" t="s">
        <v>112</v>
      </c>
      <c r="J123" s="110"/>
      <c r="K123" s="109"/>
      <c r="L123" s="109"/>
      <c r="M123" s="31"/>
    </row>
    <row r="124" spans="1:13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1"/>
    </row>
    <row r="125" spans="1:13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/>
    </row>
    <row r="126" spans="1:13" ht="12.75">
      <c r="A126" s="30"/>
      <c r="B126" s="111"/>
      <c r="C126" s="111"/>
      <c r="D126" s="30"/>
      <c r="E126" s="30"/>
      <c r="F126" s="30"/>
      <c r="G126" s="30"/>
      <c r="H126" s="30"/>
      <c r="I126" s="30"/>
      <c r="J126" s="30"/>
      <c r="K126" s="30"/>
      <c r="L126" s="30"/>
      <c r="M126" s="31"/>
    </row>
    <row r="127" spans="1:13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1"/>
    </row>
    <row r="128" spans="1:13" ht="12.75">
      <c r="A128" s="30"/>
      <c r="B128" s="111"/>
      <c r="C128" s="111"/>
      <c r="D128" s="30"/>
      <c r="E128" s="30"/>
      <c r="F128" s="30"/>
      <c r="G128" s="30"/>
      <c r="H128" s="30"/>
      <c r="I128" s="30"/>
      <c r="J128" s="30"/>
      <c r="K128" s="30"/>
      <c r="L128" s="30"/>
      <c r="M128" s="31"/>
    </row>
    <row r="129" spans="1:13" ht="12.75">
      <c r="A129" s="30"/>
      <c r="B129" s="30"/>
      <c r="C129" s="111"/>
      <c r="D129" s="30"/>
      <c r="E129" s="30"/>
      <c r="F129" s="30"/>
      <c r="G129" s="30"/>
      <c r="H129" s="30"/>
      <c r="I129" s="30"/>
      <c r="J129" s="30"/>
      <c r="K129" s="30"/>
      <c r="L129" s="30"/>
      <c r="M129" s="31"/>
    </row>
    <row r="130" spans="1:13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</row>
    <row r="131" spans="1:13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1"/>
    </row>
    <row r="132" spans="1:13" ht="12.75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/>
    </row>
    <row r="133" spans="1:13" ht="12.75">
      <c r="A133" s="30"/>
      <c r="C133" s="30"/>
      <c r="D133" s="30"/>
      <c r="E133" s="30"/>
      <c r="F133" s="30"/>
      <c r="G133" s="30"/>
      <c r="H133" s="30"/>
      <c r="I133" s="30"/>
      <c r="K133" s="30"/>
      <c r="L133" s="30"/>
      <c r="M133" s="31"/>
    </row>
    <row r="134" spans="1:13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1"/>
    </row>
    <row r="135" spans="1:13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1"/>
    </row>
    <row r="136" spans="1:13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1"/>
    </row>
    <row r="137" spans="1:13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1"/>
    </row>
    <row r="138" spans="1:13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1"/>
    </row>
    <row r="139" spans="1:13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1"/>
    </row>
    <row r="140" spans="1:13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1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1" ht="12.75">
      <c r="F171" s="112"/>
    </row>
    <row r="173" ht="12.75">
      <c r="F173" s="113"/>
    </row>
  </sheetData>
  <sheetProtection/>
  <mergeCells count="5">
    <mergeCell ref="A3:M3"/>
    <mergeCell ref="A4:M4"/>
    <mergeCell ref="A20:M20"/>
    <mergeCell ref="B29:H29"/>
    <mergeCell ref="A117:M117"/>
  </mergeCells>
  <dataValidations count="1">
    <dataValidation type="decimal" operator="greaterThanOrEqual" allowBlank="1" showErrorMessage="1" errorTitle="PositiveErrorMsg" error="Please enter a value greater than zero." sqref="F155:F169">
      <formula1>0</formula1>
    </dataValidation>
  </dataValidations>
  <printOptions/>
  <pageMargins left="0.25" right="0.25" top="0.5" bottom="0.25" header="0.5118055555555555" footer="0.5118055555555555"/>
  <pageSetup fitToHeight="0" fitToWidth="1" horizontalDpi="300" verticalDpi="300" orientation="portrait" scale="52" r:id="rId2"/>
  <rowBreaks count="1" manualBreakCount="1">
    <brk id="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Q30"/>
  <sheetViews>
    <sheetView zoomScalePageLayoutView="0" workbookViewId="0" topLeftCell="B1">
      <selection activeCell="D4" sqref="D4"/>
    </sheetView>
  </sheetViews>
  <sheetFormatPr defaultColWidth="9.140625" defaultRowHeight="12.75"/>
  <cols>
    <col min="4" max="4" width="11.28125" style="0" customWidth="1"/>
    <col min="5" max="5" width="9.28125" style="0" customWidth="1"/>
  </cols>
  <sheetData>
    <row r="2" ht="12.75">
      <c r="C2" t="s">
        <v>114</v>
      </c>
    </row>
    <row r="3" spans="3:4" ht="12.75">
      <c r="C3" s="18" t="s">
        <v>115</v>
      </c>
      <c r="D3">
        <v>2016</v>
      </c>
    </row>
    <row r="4" spans="3:4" ht="12.75">
      <c r="C4" s="18" t="s">
        <v>116</v>
      </c>
      <c r="D4" s="22">
        <v>18000</v>
      </c>
    </row>
    <row r="5" spans="3:4" ht="12.75">
      <c r="C5" s="18" t="s">
        <v>117</v>
      </c>
      <c r="D5" s="22">
        <v>53000</v>
      </c>
    </row>
    <row r="6" spans="3:4" ht="12.75">
      <c r="C6" s="18" t="s">
        <v>118</v>
      </c>
      <c r="D6" s="22">
        <v>6000</v>
      </c>
    </row>
    <row r="9" ht="12.75">
      <c r="D9" t="s">
        <v>119</v>
      </c>
    </row>
    <row r="10" spans="3:4" ht="12.75">
      <c r="C10">
        <v>1</v>
      </c>
      <c r="D10" s="17" t="s">
        <v>120</v>
      </c>
    </row>
    <row r="11" spans="3:4" ht="12.75">
      <c r="C11">
        <v>2</v>
      </c>
      <c r="D11" s="19" t="s">
        <v>121</v>
      </c>
    </row>
    <row r="12" spans="3:4" ht="12.75">
      <c r="C12">
        <v>3</v>
      </c>
      <c r="D12" s="17" t="s">
        <v>122</v>
      </c>
    </row>
    <row r="13" spans="3:4" ht="12.75">
      <c r="C13">
        <v>4</v>
      </c>
      <c r="D13" s="17" t="s">
        <v>123</v>
      </c>
    </row>
    <row r="14" spans="3:4" ht="12.75">
      <c r="C14">
        <v>5</v>
      </c>
      <c r="D14" t="s">
        <v>124</v>
      </c>
    </row>
    <row r="15" spans="3:17" ht="12.75">
      <c r="C15">
        <v>6</v>
      </c>
      <c r="D15" s="19" t="s">
        <v>125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4:5" ht="12.75">
      <c r="D16" t="s">
        <v>15</v>
      </c>
      <c r="E16" t="s">
        <v>126</v>
      </c>
    </row>
    <row r="17" spans="4:5" ht="12.75">
      <c r="D17">
        <v>2002</v>
      </c>
      <c r="E17" s="20">
        <v>1000</v>
      </c>
    </row>
    <row r="18" spans="4:5" ht="12.75">
      <c r="D18">
        <v>2003</v>
      </c>
      <c r="E18" s="20">
        <v>2000</v>
      </c>
    </row>
    <row r="19" spans="4:5" ht="12.75">
      <c r="D19">
        <v>2004</v>
      </c>
      <c r="E19" s="20">
        <v>3000</v>
      </c>
    </row>
    <row r="20" spans="4:5" ht="12.75">
      <c r="D20">
        <v>2005</v>
      </c>
      <c r="E20" s="20">
        <v>4000</v>
      </c>
    </row>
    <row r="21" spans="4:5" ht="12.75">
      <c r="D21">
        <v>2006</v>
      </c>
      <c r="E21" s="20">
        <v>5000</v>
      </c>
    </row>
    <row r="22" spans="4:5" ht="12.75">
      <c r="D22">
        <v>2007</v>
      </c>
      <c r="E22" s="20">
        <v>5000</v>
      </c>
    </row>
    <row r="23" spans="4:5" ht="12.75">
      <c r="D23">
        <v>2008</v>
      </c>
      <c r="E23" s="20">
        <v>5000</v>
      </c>
    </row>
    <row r="24" spans="4:5" ht="12.75">
      <c r="D24">
        <v>2009</v>
      </c>
      <c r="E24" s="20">
        <v>5500</v>
      </c>
    </row>
    <row r="25" spans="4:5" ht="12.75">
      <c r="D25">
        <v>2010</v>
      </c>
      <c r="E25" s="20">
        <v>5500</v>
      </c>
    </row>
    <row r="26" spans="4:6" ht="12.75">
      <c r="D26">
        <v>2011</v>
      </c>
      <c r="E26" s="20">
        <v>5500</v>
      </c>
      <c r="F26" s="21"/>
    </row>
    <row r="27" spans="4:6" ht="12.75">
      <c r="D27">
        <v>2012</v>
      </c>
      <c r="E27" s="20">
        <v>5500</v>
      </c>
      <c r="F27" s="21"/>
    </row>
    <row r="28" spans="4:6" ht="12.75">
      <c r="D28">
        <v>2013</v>
      </c>
      <c r="E28" s="20">
        <v>5500</v>
      </c>
      <c r="F28" s="21"/>
    </row>
    <row r="29" spans="4:6" ht="12.75">
      <c r="D29">
        <v>2014</v>
      </c>
      <c r="E29" s="20">
        <v>5500</v>
      </c>
      <c r="F29" s="21"/>
    </row>
    <row r="30" spans="4:5" ht="12.75">
      <c r="D30">
        <v>2015</v>
      </c>
      <c r="E30" s="21">
        <v>6000</v>
      </c>
    </row>
  </sheetData>
  <sheetProtection/>
  <printOptions/>
  <pageMargins left="0.75" right="0.75" top="1" bottom="1" header="0.5118055555555555" footer="0.511805555555555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rob-rumble</dc:creator>
  <cp:keywords/>
  <dc:description/>
  <cp:lastModifiedBy>Christina Muller</cp:lastModifiedBy>
  <cp:lastPrinted>2014-10-30T23:57:16Z</cp:lastPrinted>
  <dcterms:created xsi:type="dcterms:W3CDTF">2007-07-09T22:50:16Z</dcterms:created>
  <dcterms:modified xsi:type="dcterms:W3CDTF">2016-04-22T15:16:51Z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R_DocID">
    <vt:lpwstr>949CE11E6D4A42F8A068AB3280B43F41</vt:lpwstr>
  </property>
  <property fmtid="{D5CDD505-2E9C-101B-9397-08002B2CF9AE}" pid="3" name="MPR_PEERREVIEW">
    <vt:lpwstr>Peer Review Identifier</vt:lpwstr>
  </property>
  <property fmtid="{D5CDD505-2E9C-101B-9397-08002B2CF9AE}" pid="4" name="_dlc_DocId">
    <vt:lpwstr>SCP5UENJTFED-1083-11</vt:lpwstr>
  </property>
  <property fmtid="{D5CDD505-2E9C-101B-9397-08002B2CF9AE}" pid="5" name="_dlc_DocIdItemGuid">
    <vt:lpwstr>ea10c646-6260-4297-87d9-de73e407aed9</vt:lpwstr>
  </property>
  <property fmtid="{D5CDD505-2E9C-101B-9397-08002B2CF9AE}" pid="6" name="_dlc_DocIdUrl">
    <vt:lpwstr>https://csyou.calstate.edu/Tools/HR/Benefits-Portal/tsa/_layouts/DocIdRedir.aspx?ID=SCP5UENJTFED-1083-11, SCP5UENJTFED-1083-11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